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Leverans o bedömning\Leveranser\Slaktungnöt - Växa\Slutleverans\"/>
    </mc:Choice>
  </mc:AlternateContent>
  <bookViews>
    <workbookView xWindow="0" yWindow="0" windowWidth="28800" windowHeight="13692" tabRatio="800" activeTab="1"/>
  </bookViews>
  <sheets>
    <sheet name="Intro" sheetId="9" r:id="rId1"/>
    <sheet name="Investeringskalkyl" sheetId="1" r:id="rId2"/>
    <sheet name="Driftkalkyl - Slaktungnöt" sheetId="7" r:id="rId3"/>
    <sheet name="Blad10" sheetId="10" r:id="rId4"/>
  </sheets>
  <definedNames>
    <definedName name="blue_a2">#REF!</definedName>
    <definedName name="Djurslag">Blad10!$A$3:$A$8</definedName>
    <definedName name="pristyp">#REF!</definedName>
    <definedName name="prodstorlek">#REF!</definedName>
    <definedName name="stodomrade">#REF!</definedName>
    <definedName name="Välj_djurslag">Blad10!$A$2:$A$8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7" l="1"/>
  <c r="B16" i="7"/>
  <c r="B15" i="7"/>
  <c r="G50" i="7"/>
  <c r="G51" i="7"/>
  <c r="F51" i="7"/>
  <c r="F50" i="7"/>
  <c r="G44" i="7"/>
  <c r="F44" i="7"/>
  <c r="F40" i="7"/>
  <c r="G40" i="7" s="1"/>
  <c r="F49" i="7" l="1"/>
  <c r="E47" i="7" l="1"/>
  <c r="E46" i="7" l="1"/>
  <c r="E58" i="1"/>
  <c r="F67" i="1" l="1"/>
  <c r="E51" i="1" l="1"/>
  <c r="F51" i="1" s="1"/>
  <c r="B17" i="1"/>
  <c r="F63" i="1"/>
  <c r="F58" i="1" l="1"/>
  <c r="E37" i="1" l="1"/>
  <c r="F49" i="1" l="1"/>
  <c r="F50" i="1"/>
  <c r="F52" i="1"/>
  <c r="F53" i="1"/>
  <c r="F54" i="1"/>
  <c r="F55" i="1"/>
  <c r="F56" i="1"/>
  <c r="F57" i="1"/>
  <c r="F33" i="1"/>
  <c r="B7" i="7" l="1"/>
  <c r="E43" i="7" l="1"/>
  <c r="E42" i="7"/>
  <c r="C45" i="7" l="1"/>
  <c r="F31" i="7" l="1"/>
  <c r="F30" i="7"/>
  <c r="C42" i="7"/>
  <c r="F42" i="7" s="1"/>
  <c r="F28" i="7"/>
  <c r="F22" i="7"/>
  <c r="B4" i="7"/>
  <c r="B8" i="7" s="1"/>
  <c r="F48" i="7"/>
  <c r="F47" i="7"/>
  <c r="F46" i="7"/>
  <c r="F39" i="7"/>
  <c r="F38" i="7"/>
  <c r="F37" i="7"/>
  <c r="F36" i="7"/>
  <c r="F35" i="7"/>
  <c r="F34" i="7"/>
  <c r="F33" i="7"/>
  <c r="F32" i="7"/>
  <c r="F29" i="7"/>
  <c r="F27" i="7"/>
  <c r="F23" i="7"/>
  <c r="F21" i="7"/>
  <c r="G31" i="7" l="1"/>
  <c r="G30" i="7"/>
  <c r="G28" i="7"/>
  <c r="G35" i="7"/>
  <c r="G47" i="7"/>
  <c r="G32" i="7"/>
  <c r="G21" i="7"/>
  <c r="G27" i="7"/>
  <c r="G33" i="7"/>
  <c r="G37" i="7"/>
  <c r="G49" i="7"/>
  <c r="G22" i="7"/>
  <c r="G39" i="7"/>
  <c r="G36" i="7"/>
  <c r="G29" i="7"/>
  <c r="G34" i="7"/>
  <c r="G38" i="7"/>
  <c r="G42" i="7"/>
  <c r="G46" i="7"/>
  <c r="F24" i="7"/>
  <c r="C43" i="7" l="1"/>
  <c r="F43" i="7" s="1"/>
  <c r="G48" i="7"/>
  <c r="B13" i="7" s="1"/>
  <c r="G23" i="7"/>
  <c r="G24" i="7" s="1"/>
  <c r="G43" i="7" l="1"/>
  <c r="F62" i="1" l="1"/>
  <c r="F61" i="1"/>
  <c r="F48" i="1"/>
  <c r="F47" i="1"/>
  <c r="F46" i="1"/>
  <c r="F43" i="1"/>
  <c r="F42" i="1"/>
  <c r="F39" i="1"/>
  <c r="F38" i="1"/>
  <c r="F37" i="1"/>
  <c r="F34" i="1"/>
  <c r="F35" i="1" s="1"/>
  <c r="B24" i="1"/>
  <c r="F64" i="1" l="1"/>
  <c r="F40" i="1"/>
  <c r="F59" i="1"/>
  <c r="F44" i="1"/>
  <c r="F66" i="1"/>
  <c r="F68" i="1" l="1"/>
  <c r="F69" i="1" s="1"/>
  <c r="F72" i="1" l="1"/>
  <c r="E41" i="7" s="1"/>
  <c r="F41" i="7" s="1"/>
  <c r="G41" i="7" s="1"/>
  <c r="F70" i="1"/>
  <c r="F71" i="1" s="1"/>
  <c r="F75" i="1"/>
  <c r="B19" i="1" l="1"/>
  <c r="F73" i="1"/>
  <c r="E45" i="7" s="1"/>
  <c r="F45" i="7" s="1"/>
  <c r="G45" i="7" l="1"/>
  <c r="B11" i="7" l="1"/>
  <c r="B20" i="1" s="1"/>
  <c r="B21" i="1" s="1"/>
  <c r="B26" i="1" s="1"/>
  <c r="B12" i="7" l="1"/>
  <c r="B27" i="1"/>
</calcChain>
</file>

<file path=xl/comments1.xml><?xml version="1.0" encoding="utf-8"?>
<comments xmlns="http://schemas.openxmlformats.org/spreadsheetml/2006/main">
  <authors>
    <author>Jonas Fjertorp</author>
  </authors>
  <commentList>
    <comment ref="E48" authorId="0" shapeId="0">
      <text>
        <r>
          <rPr>
            <sz val="9"/>
            <color indexed="81"/>
            <rFont val="Tahoma"/>
            <family val="2"/>
          </rPr>
          <t>Minst 220 kr per timme (inkl. sociala avgifter)</t>
        </r>
      </text>
    </comment>
  </commentList>
</comments>
</file>

<file path=xl/sharedStrings.xml><?xml version="1.0" encoding="utf-8"?>
<sst xmlns="http://schemas.openxmlformats.org/spreadsheetml/2006/main" count="196" uniqueCount="152">
  <si>
    <t>Total yta</t>
  </si>
  <si>
    <t>m2</t>
  </si>
  <si>
    <t>Byggdelar</t>
  </si>
  <si>
    <t>Utgift</t>
  </si>
  <si>
    <t>Kr/enhet</t>
  </si>
  <si>
    <t>Antal/yta</t>
  </si>
  <si>
    <t>Not</t>
  </si>
  <si>
    <t>Markarbete</t>
  </si>
  <si>
    <t>Byggnad</t>
  </si>
  <si>
    <t>Stallbyggnad</t>
  </si>
  <si>
    <t>Personalutrymmen</t>
  </si>
  <si>
    <t>Övriga serviceutrymmen</t>
  </si>
  <si>
    <t>Installationer</t>
  </si>
  <si>
    <t>Gödselvårdsanläggning</t>
  </si>
  <si>
    <t>Gödselbrunn</t>
  </si>
  <si>
    <t>Byggledning</t>
  </si>
  <si>
    <t>Markarbete för byggnader &amp; brunnar</t>
  </si>
  <si>
    <t>Vägar &amp; planer</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</si>
  <si>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</si>
  <si>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</si>
  <si>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</si>
  <si>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</si>
  <si>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</si>
  <si>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</si>
  <si>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</si>
  <si>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</si>
  <si>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</si>
  <si>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</si>
  <si>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</si>
  <si>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</si>
  <si>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</si>
  <si>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</si>
  <si>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</si>
  <si>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</si>
  <si>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</si>
  <si>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</si>
  <si>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</si>
  <si>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</si>
  <si>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st</t>
  </si>
  <si>
    <t>ton</t>
  </si>
  <si>
    <t>kg</t>
  </si>
  <si>
    <t>Strömedel</t>
  </si>
  <si>
    <t>El</t>
  </si>
  <si>
    <t>kWh</t>
  </si>
  <si>
    <t>Produktionsrådgivning</t>
  </si>
  <si>
    <t>SUMMA SÄRKOSTNADER 1</t>
  </si>
  <si>
    <t>Ränta djurkapital</t>
  </si>
  <si>
    <t>SUMMA SÄRKOSTNADER 2</t>
  </si>
  <si>
    <t>Byggnader, avskr + ränta</t>
  </si>
  <si>
    <t>tim</t>
  </si>
  <si>
    <t>SUMMA SÄRKOSTNADER 3</t>
  </si>
  <si>
    <t>Grundförutsättningar</t>
  </si>
  <si>
    <t>Arbete (inkl. eget arbete)</t>
  </si>
  <si>
    <t>%</t>
  </si>
  <si>
    <t>Pris per enhet</t>
  </si>
  <si>
    <t>Nyckeltal</t>
  </si>
  <si>
    <t>Försäkringar för stallbyggnad</t>
  </si>
  <si>
    <t>Försäkringar för djur</t>
  </si>
  <si>
    <t>Investeringsstöd enligt schablon, totalt</t>
  </si>
  <si>
    <t>Investeringsutgift per djurplats utan stöd</t>
  </si>
  <si>
    <t>---</t>
  </si>
  <si>
    <t>Summa kostnader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</si>
  <si>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</si>
  <si>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</si>
  <si>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</si>
  <si>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</si>
  <si>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</si>
  <si>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</si>
  <si>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</si>
  <si>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</si>
  <si>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</si>
  <si>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</si>
  <si>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</si>
  <si>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</si>
  <si>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</si>
  <si>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</si>
  <si>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Summa intäkter</t>
  </si>
  <si>
    <t>TB 1</t>
  </si>
  <si>
    <t>TB 2</t>
  </si>
  <si>
    <t>TB 3</t>
  </si>
  <si>
    <t>Investeringskalkyl</t>
  </si>
  <si>
    <t>Värde</t>
  </si>
  <si>
    <t>Yta stall</t>
  </si>
  <si>
    <t>Yta serviceutrymmen &amp; övriga utrymmen (exklusive utrymmen för visning)</t>
  </si>
  <si>
    <t>Yta utrymmen för visning</t>
  </si>
  <si>
    <t>INVESTERINGSUTGIFT</t>
  </si>
  <si>
    <t>GRUNDDATA</t>
  </si>
  <si>
    <t>Byggnader, löpande underhåll</t>
  </si>
  <si>
    <t>SÄRINTÄKTER</t>
  </si>
  <si>
    <t>SÄRKOSTNADER</t>
  </si>
  <si>
    <t>Gödsel</t>
  </si>
  <si>
    <t>Grovfoder</t>
  </si>
  <si>
    <t>Mineralfoder</t>
  </si>
  <si>
    <t>Driftsledning</t>
  </si>
  <si>
    <t>Kött</t>
  </si>
  <si>
    <t>Veterinär &amp; medicin</t>
  </si>
  <si>
    <t>mjölkkor</t>
  </si>
  <si>
    <t>Ränta rörelsekapital</t>
  </si>
  <si>
    <t>Nettonuvärde vid 5 % avkastning</t>
  </si>
  <si>
    <t>Investeringsutgift (efter investeringsstöd enligt schablon)</t>
  </si>
  <si>
    <t>Koncentrat</t>
  </si>
  <si>
    <t>Driftnetto per år enligt driftkalkyl</t>
  </si>
  <si>
    <t>Driftnetto per år exklusive avskrivningar och ränta</t>
  </si>
  <si>
    <t>Resultat för stallet</t>
  </si>
  <si>
    <t>Vinstmarginal i stallkalkylen</t>
  </si>
  <si>
    <t>Driftkalkyl - Slaktungnöt</t>
  </si>
  <si>
    <t>Löner</t>
  </si>
  <si>
    <t>&lt;- Välj djurslag i rullistan</t>
  </si>
  <si>
    <t>Ålder kalv inköp</t>
  </si>
  <si>
    <t>månader</t>
  </si>
  <si>
    <t>Slaktålder</t>
  </si>
  <si>
    <t>Uppfödningstid</t>
  </si>
  <si>
    <t>Genomsnitt antal uppfödda per år</t>
  </si>
  <si>
    <t>Täckningsbidrag per slaktungnöt</t>
  </si>
  <si>
    <t>Kvant per slaktungnöt</t>
  </si>
  <si>
    <t>Kronor per slaktungnöt</t>
  </si>
  <si>
    <t>Nötkreatursstöd</t>
  </si>
  <si>
    <t>Kalv</t>
  </si>
  <si>
    <t>Förmedlingsavgift</t>
  </si>
  <si>
    <t>Spannmål</t>
  </si>
  <si>
    <t>Nuvärdet av driftsnetto (exklusive avskrivningar och ränta)</t>
  </si>
  <si>
    <t>SUMMA Investeringsutgift (exklusive utrymmen för visning)</t>
  </si>
  <si>
    <t>TOTAL INVESTERINGSUTGIFT (inklusive utrymmen för visning, utan stöd)</t>
  </si>
  <si>
    <t>Indata till rullista på fliken "Investeringskalkyl" - RADERA EJ</t>
  </si>
  <si>
    <t>Åkerböna</t>
  </si>
  <si>
    <t>kg/ts</t>
  </si>
  <si>
    <t>Foderfront</t>
  </si>
  <si>
    <t>Fodersilo</t>
  </si>
  <si>
    <t>Mixervagn</t>
  </si>
  <si>
    <t>Traktor</t>
  </si>
  <si>
    <t>Teleskoplastare</t>
  </si>
  <si>
    <t>Tippkärra</t>
  </si>
  <si>
    <t>ATW</t>
  </si>
  <si>
    <t>Strömaskin inkl. räls</t>
  </si>
  <si>
    <t>Snöblad</t>
  </si>
  <si>
    <t>Automatisk drivningsvägning</t>
  </si>
  <si>
    <t>Stall för slaktungnöt</t>
  </si>
  <si>
    <t>Växa Sverige</t>
  </si>
  <si>
    <t>Sara Lundberg</t>
  </si>
  <si>
    <t>Eva-Lotta Gustafsson</t>
  </si>
  <si>
    <t>Jannica Krafft</t>
  </si>
  <si>
    <t>Claes Åkerberg</t>
  </si>
  <si>
    <t>Grindar samt vattenkoppar</t>
  </si>
  <si>
    <t>Övrig inredning</t>
  </si>
  <si>
    <t>Hanteringsyta</t>
  </si>
  <si>
    <t>Gödsel- och kadaverplatta</t>
  </si>
  <si>
    <t>kr/djur</t>
  </si>
  <si>
    <t>Framkörning foder, inkl. utgödsling</t>
  </si>
  <si>
    <t>VA-installationer, inkl. anslutning</t>
  </si>
  <si>
    <t>El-installationer, inkl. anslutning</t>
  </si>
  <si>
    <t>Utgödsling inkl. kulvert och tryckare</t>
  </si>
  <si>
    <t>Delsumma byggnad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</si>
</sst>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kr&quot;;[Red]\-#,##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2" formatCode="#,##0_ ;[Red]\-#,##0\ "/>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9"/>
      <color indexed="81"/>
      <name val="Tahoma"/>
      <family val="2"/>
    </font>
    <font>
      <sz val="10"/>
      <name val="Verdana"/>
      <family val="2"/>
    </font>
    <font>
      <sz val="14"/>
      <name val="Cambria"/>
      <family val="1"/>
    </font>
    <font>
      <b/>
      <sz val="14"/>
      <color rgb="FFFF0000"/>
      <name val="Calibri"/>
      <family val="2"/>
      <scheme val="minor"/>
    </font>
    <font>
      <i/>
      <sz val="11"/>
      <color rgb="FFFF0000"/>
      <name val="Cambria"/>
      <family val="1"/>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cellStyleXfs>
  <cellXfs count="205">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5"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5" fillId="0" borderId="0" xfId="0" applyFont="1" applyBorder="1" applyAlignment="1" applyProtection="1">
      <alignment horizontal="right"/>
      <protection locked="0"/>
    </xf>
    <xf numFmtId="167" fontId="5" fillId="0" borderId="0" xfId="0" applyNumberFormat="1" applyFont="1" applyFill="1" applyBorder="1" applyProtection="1">
      <protection locked="0"/>
    </xf>
    <xf numFmtId="4" fontId="5" fillId="0" borderId="0" xfId="0" applyNumberFormat="1" applyFont="1" applyFill="1" applyBorder="1" applyProtection="1">
      <protection locked="0"/>
    </xf>
    <xf numFmtId="3"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14" fillId="0" borderId="0" xfId="0" applyFont="1" applyBorder="1" applyAlignment="1" applyProtection="1">
      <alignment horizontal="center"/>
      <protection locked="0"/>
    </xf>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170" fontId="5" fillId="0" borderId="0" xfId="1" applyNumberFormat="1" applyFont="1" applyFill="1" applyBorder="1" applyProtection="1">
      <protection locked="0"/>
    </xf>
    <xf numFmtId="170" fontId="5" fillId="0" borderId="0" xfId="0" applyNumberFormat="1" applyFont="1" applyBorder="1" applyProtection="1">
      <protection locked="0"/>
    </xf>
    <xf numFmtId="170" fontId="5" fillId="0" borderId="0" xfId="0" applyNumberFormat="1" applyFont="1" applyFill="1" applyBorder="1" applyProtection="1">
      <protection locked="0"/>
    </xf>
    <xf numFmtId="6" fontId="13" fillId="3" borderId="19" xfId="0" applyNumberFormat="1" applyFont="1" applyFill="1" applyBorder="1" applyProtection="1"/>
    <xf numFmtId="0" fontId="16" fillId="0" borderId="0" xfId="2" applyAlignment="1">
      <alignment wrapText="1"/>
    </xf>
    <xf numFmtId="0" fontId="16" fillId="0" borderId="0" xfId="2"/>
    <xf numFmtId="0" fontId="16"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0" applyFont="1" applyBorder="1" applyAlignment="1" applyProtection="1">
      <alignment wrapText="1"/>
      <protection locked="0"/>
    </xf>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4" borderId="5" xfId="0" applyFont="1" applyFill="1" applyBorder="1"/>
    <xf numFmtId="0" fontId="10" fillId="4" borderId="0" xfId="0" applyFont="1" applyFill="1" applyBorder="1" applyAlignment="1">
      <alignment horizontal="center"/>
    </xf>
    <xf numFmtId="0" fontId="9" fillId="4" borderId="0" xfId="0" applyFont="1" applyFill="1" applyBorder="1"/>
    <xf numFmtId="0" fontId="9" fillId="4" borderId="6" xfId="0" applyFont="1" applyFill="1" applyBorder="1"/>
    <xf numFmtId="0" fontId="9" fillId="4" borderId="23" xfId="0" applyFont="1" applyFill="1" applyBorder="1"/>
    <xf numFmtId="0" fontId="4" fillId="4" borderId="21" xfId="0" applyFont="1" applyFill="1" applyBorder="1"/>
    <xf numFmtId="0" fontId="4" fillId="4" borderId="22" xfId="0" applyFont="1" applyFill="1" applyBorder="1"/>
    <xf numFmtId="0" fontId="12" fillId="4" borderId="23" xfId="2" applyFont="1" applyFill="1" applyBorder="1" applyAlignment="1">
      <alignment wrapText="1"/>
    </xf>
    <xf numFmtId="0" fontId="12" fillId="4" borderId="21" xfId="2" applyFont="1" applyFill="1" applyBorder="1" applyAlignment="1">
      <alignment horizontal="left" wrapText="1"/>
    </xf>
    <xf numFmtId="0" fontId="12" fillId="4" borderId="22"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164" fontId="4" fillId="0" borderId="6" xfId="0" applyNumberFormat="1" applyFont="1" applyFill="1" applyBorder="1"/>
    <xf numFmtId="164" fontId="4" fillId="0" borderId="14" xfId="0" applyNumberFormat="1"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7" fillId="0" borderId="0" xfId="0" applyFont="1"/>
    <xf numFmtId="168" fontId="5" fillId="3" borderId="0" xfId="2" applyNumberFormat="1" applyFont="1" applyFill="1" applyBorder="1" applyAlignment="1" applyProtection="1">
      <alignment horizontal="right"/>
    </xf>
    <xf numFmtId="164" fontId="4" fillId="3" borderId="6" xfId="0" applyNumberFormat="1" applyFont="1" applyFill="1" applyBorder="1" applyProtection="1"/>
    <xf numFmtId="164" fontId="8" fillId="3" borderId="20" xfId="0" applyNumberFormat="1" applyFont="1" applyFill="1" applyBorder="1" applyProtection="1"/>
    <xf numFmtId="164" fontId="11" fillId="3" borderId="14" xfId="0" applyNumberFormat="1" applyFont="1" applyFill="1" applyBorder="1" applyProtection="1"/>
    <xf numFmtId="164" fontId="11" fillId="3" borderId="8" xfId="0" applyNumberFormat="1" applyFont="1" applyFill="1" applyBorder="1" applyProtection="1"/>
    <xf numFmtId="164" fontId="11" fillId="3" borderId="20" xfId="0" applyNumberFormat="1" applyFont="1" applyFill="1" applyBorder="1" applyProtection="1"/>
    <xf numFmtId="164" fontId="11" fillId="3" borderId="6" xfId="0" applyNumberFormat="1" applyFont="1" applyFill="1" applyBorder="1" applyProtection="1"/>
    <xf numFmtId="164" fontId="4" fillId="3" borderId="17" xfId="0" applyNumberFormat="1" applyFont="1" applyFill="1" applyBorder="1" applyProtection="1"/>
    <xf numFmtId="9" fontId="4" fillId="2" borderId="0" xfId="0" applyNumberFormat="1" applyFont="1" applyFill="1" applyBorder="1" applyProtection="1"/>
    <xf numFmtId="172" fontId="13" fillId="3" borderId="1" xfId="2" applyNumberFormat="1" applyFont="1" applyFill="1" applyBorder="1" applyAlignment="1" applyProtection="1">
      <alignment horizontal="right"/>
    </xf>
    <xf numFmtId="172" fontId="13" fillId="3" borderId="10" xfId="2" applyNumberFormat="1" applyFont="1" applyFill="1" applyBorder="1" applyAlignment="1" applyProtection="1">
      <alignment horizontal="right"/>
    </xf>
    <xf numFmtId="3" fontId="8" fillId="3" borderId="16" xfId="0" applyNumberFormat="1" applyFont="1" applyFill="1" applyBorder="1" applyProtection="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11" xfId="0" applyFont="1" applyBorder="1" applyProtection="1">
      <protection locked="0"/>
    </xf>
    <xf numFmtId="0" fontId="4" fillId="0" borderId="0" xfId="0" applyFont="1" applyBorder="1" applyAlignment="1" applyProtection="1">
      <alignment horizontal="right" wrapText="1"/>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169" fontId="5" fillId="3" borderId="0" xfId="0" applyNumberFormat="1" applyFont="1" applyFill="1" applyBorder="1" applyProtection="1"/>
    <xf numFmtId="164" fontId="13" fillId="3" borderId="19" xfId="0" applyNumberFormat="1" applyFont="1" applyFill="1" applyBorder="1" applyProtection="1"/>
    <xf numFmtId="38" fontId="5" fillId="0" borderId="0" xfId="0" applyNumberFormat="1" applyFont="1" applyFill="1" applyBorder="1" applyProtection="1"/>
    <xf numFmtId="168" fontId="5" fillId="2" borderId="0" xfId="1" applyNumberFormat="1" applyFont="1" applyFill="1" applyBorder="1" applyProtection="1"/>
    <xf numFmtId="3" fontId="5" fillId="3" borderId="0" xfId="0" applyNumberFormat="1" applyFont="1" applyFill="1" applyBorder="1" applyProtection="1"/>
    <xf numFmtId="170" fontId="5" fillId="3" borderId="0" xfId="0" applyNumberFormat="1" applyFont="1" applyFill="1" applyBorder="1" applyProtection="1"/>
    <xf numFmtId="0" fontId="12" fillId="4" borderId="2" xfId="0" applyFont="1" applyFill="1" applyBorder="1" applyAlignment="1" applyProtection="1">
      <alignment horizontal="left" wrapText="1"/>
    </xf>
    <xf numFmtId="164" fontId="12"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11" xfId="0" applyFont="1" applyBorder="1" applyProtection="1"/>
    <xf numFmtId="0" fontId="12" fillId="4" borderId="19" xfId="0" applyFont="1" applyFill="1" applyBorder="1" applyAlignment="1" applyProtection="1">
      <alignment horizontal="left" wrapText="1"/>
    </xf>
    <xf numFmtId="0" fontId="13" fillId="4" borderId="19" xfId="0" applyFont="1" applyFill="1" applyBorder="1" applyAlignment="1" applyProtection="1">
      <alignment horizontal="center" wrapText="1"/>
    </xf>
    <xf numFmtId="3" fontId="12" fillId="4" borderId="1" xfId="0" applyNumberFormat="1" applyFont="1" applyFill="1" applyBorder="1" applyAlignment="1" applyProtection="1">
      <alignment horizontal="center" wrapText="1"/>
    </xf>
    <xf numFmtId="0" fontId="12" fillId="4"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4" fillId="0" borderId="0" xfId="0" quotePrefix="1" applyFont="1" applyBorder="1" applyAlignment="1" applyProtection="1">
      <alignment horizontal="center"/>
    </xf>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10" fontId="5" fillId="2" borderId="0" xfId="2" applyNumberFormat="1" applyFont="1" applyFill="1" applyBorder="1" applyAlignment="1" applyProtection="1">
      <alignment horizontal="right"/>
    </xf>
    <xf numFmtId="0" fontId="8" fillId="5" borderId="13" xfId="0" applyFont="1" applyFill="1" applyBorder="1" applyAlignment="1" applyProtection="1">
      <alignment horizontal="center"/>
      <protection locked="0"/>
    </xf>
    <xf numFmtId="0" fontId="4" fillId="5" borderId="13" xfId="0" applyFont="1" applyFill="1" applyBorder="1" applyProtection="1">
      <protection locked="0"/>
    </xf>
    <xf numFmtId="164" fontId="4" fillId="5" borderId="13" xfId="0" applyNumberFormat="1" applyFont="1" applyFill="1" applyBorder="1" applyProtection="1">
      <protection locked="0"/>
    </xf>
    <xf numFmtId="164" fontId="4" fillId="5" borderId="20" xfId="0" applyNumberFormat="1" applyFont="1" applyFill="1" applyBorder="1" applyProtection="1">
      <protection locked="0"/>
    </xf>
    <xf numFmtId="0" fontId="4" fillId="0" borderId="0" xfId="0" applyFont="1" applyAlignment="1" applyProtection="1">
      <alignment wrapText="1"/>
    </xf>
    <xf numFmtId="0" fontId="12" fillId="4" borderId="4" xfId="0" applyFont="1" applyFill="1" applyBorder="1" applyAlignment="1" applyProtection="1">
      <alignment horizontal="left"/>
    </xf>
    <xf numFmtId="0" fontId="5" fillId="0" borderId="0" xfId="0" applyFont="1" applyFill="1" applyBorder="1" applyProtection="1"/>
    <xf numFmtId="2" fontId="4" fillId="3" borderId="10" xfId="0" applyNumberFormat="1" applyFont="1" applyFill="1" applyBorder="1" applyProtection="1"/>
    <xf numFmtId="168" fontId="4" fillId="3" borderId="6" xfId="0" applyNumberFormat="1" applyFont="1" applyFill="1" applyBorder="1" applyProtection="1"/>
    <xf numFmtId="172" fontId="13" fillId="3" borderId="13" xfId="2" applyNumberFormat="1" applyFont="1" applyFill="1" applyBorder="1" applyAlignment="1" applyProtection="1">
      <alignment horizontal="right"/>
    </xf>
    <xf numFmtId="172" fontId="13" fillId="3" borderId="0" xfId="2" applyNumberFormat="1" applyFont="1" applyFill="1" applyBorder="1" applyAlignment="1" applyProtection="1">
      <alignment horizontal="right"/>
    </xf>
    <xf numFmtId="0" fontId="18" fillId="0" borderId="0" xfId="0" applyFont="1"/>
    <xf numFmtId="0" fontId="19" fillId="0" borderId="19"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5" fillId="0" borderId="5" xfId="0" applyFont="1" applyBorder="1"/>
    <xf numFmtId="0" fontId="5" fillId="0" borderId="0" xfId="0" applyFont="1" applyBorder="1" applyProtection="1">
      <protection locked="0"/>
    </xf>
    <xf numFmtId="164" fontId="5" fillId="0" borderId="0" xfId="0" applyNumberFormat="1" applyFont="1" applyBorder="1" applyProtection="1">
      <protection locked="0"/>
    </xf>
    <xf numFmtId="164" fontId="5" fillId="3" borderId="6" xfId="0" applyNumberFormat="1" applyFont="1" applyFill="1" applyBorder="1" applyProtection="1"/>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0" xfId="0" applyFont="1" applyFill="1" applyBorder="1" applyProtection="1">
      <protection locked="0"/>
    </xf>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3</xdr:col>
      <xdr:colOff>358140</xdr:colOff>
      <xdr:row>13</xdr:row>
      <xdr:rowOff>121920</xdr:rowOff>
    </xdr:from>
    <xdr:ext cx="2381249" cy="1257300"/>
    <xdr:sp macro="" textlink="">
      <xdr:nvSpPr>
        <xdr:cNvPr id="3" name="textruta 2"/>
        <xdr:cNvSpPr txBox="1"/>
      </xdr:nvSpPr>
      <xdr:spPr>
        <a:xfrm>
          <a:off x="4945380" y="264414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0</xdr:row>
      <xdr:rowOff>342899</xdr:rowOff>
    </xdr:from>
    <xdr:ext cx="7267575" cy="18602325"/>
    <xdr:sp macro="" textlink="">
      <xdr:nvSpPr>
        <xdr:cNvPr id="4" name="textruta 3"/>
        <xdr:cNvSpPr txBox="1"/>
      </xdr:nvSpPr>
      <xdr:spPr>
        <a:xfrm>
          <a:off x="8277225" y="342899"/>
          <a:ext cx="7267575" cy="1860232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Slaktungnöt</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r>
            <a:rPr lang="sv-SE" sz="1100" i="1">
              <a:solidFill>
                <a:schemeClr val="tx1"/>
              </a:solidFill>
              <a:effectLst/>
              <a:latin typeface="Cambria" panose="02040503050406030204" pitchFamily="18" charset="0"/>
              <a:ea typeface="+mn-ea"/>
              <a:cs typeface="+mn-cs"/>
            </a:rPr>
            <a:t>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kalvens ålder när den kommer till stallet</a:t>
          </a:r>
          <a:r>
            <a:rPr lang="sv-SE" sz="1100" b="0" baseline="0">
              <a:solidFill>
                <a:schemeClr val="tx1"/>
              </a:solidFill>
              <a:effectLst/>
              <a:latin typeface="Cambria" panose="02040503050406030204" pitchFamily="18" charset="0"/>
              <a:ea typeface="+mn-ea"/>
              <a:cs typeface="+mn-cs"/>
            </a:rPr>
            <a:t> och slaktålder.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Kött</a:t>
          </a:r>
        </a:p>
        <a:p>
          <a:pPr eaLnBrk="1" fontAlgn="auto" latinLnBrk="0" hangingPunct="1"/>
          <a:r>
            <a:rPr lang="sv-SE" sz="1100" b="0" baseline="0">
              <a:solidFill>
                <a:schemeClr val="tx1"/>
              </a:solidFill>
              <a:effectLst/>
              <a:latin typeface="Cambria" panose="02040503050406030204" pitchFamily="18" charset="0"/>
              <a:ea typeface="+mn-ea"/>
              <a:cs typeface="+mn-cs"/>
            </a:rPr>
            <a:t>Ange genomsnittlig slaktvikt per djur. Räkna bort de djur som dör och inte skickas till slakt, när du räknar ut den genomsnittliga slaktvikten.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a:effectLst/>
            <a:latin typeface="Cambria" panose="020405030504060302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Undvik dubbelberäkningar genom att djurrelaterade stöd räknas som intäkt i djurkalkylen samtidigt som de minskar kostnaden för egenproducerat foder. För stöd som integrerar djurhållning och odling ska du redovisa hur detta beaktats i noten till kalkylposten.</a:t>
          </a:r>
        </a:p>
        <a:p>
          <a:pPr eaLnBrk="1" fontAlgn="auto" latinLnBrk="0" hangingPunct="1"/>
          <a:endParaRPr lang="sv-SE">
            <a:effectLst/>
            <a:latin typeface="Cambria" panose="02040503050406030204" pitchFamily="18" charset="0"/>
          </a:endParaRPr>
        </a:p>
        <a:p>
          <a:pPr eaLnBrk="1" fontAlgn="auto" latinLnBrk="0" hangingPunct="1"/>
          <a:r>
            <a:rPr lang="sv-SE" sz="1100" b="0" i="0" baseline="0">
              <a:solidFill>
                <a:schemeClr val="tx1"/>
              </a:solidFill>
              <a:effectLst/>
              <a:latin typeface="Cambria" panose="02040503050406030204" pitchFamily="18" charset="0"/>
              <a:ea typeface="+mn-ea"/>
              <a:cs typeface="+mn-cs"/>
            </a:rPr>
            <a:t>Du får räkna med ersättning för att djuret håller betesmarkerna öppna. Detta beaktas genom att redovisa "netto bete" eller "skötselersättning" för djuren som betar. </a:t>
          </a:r>
          <a:r>
            <a:rPr lang="sv-SE" sz="1100" b="0" baseline="0">
              <a:solidFill>
                <a:schemeClr val="tx1"/>
              </a:solidFill>
              <a:effectLst/>
              <a:latin typeface="Cambria" panose="02040503050406030204" pitchFamily="18" charset="0"/>
              <a:ea typeface="+mn-ea"/>
              <a:cs typeface="+mn-cs"/>
            </a:rPr>
            <a:t>Om nettot är negativt skriver du 0 kr på intäktsraden och lägger istället till en ny rad under kostnader.</a:t>
          </a:r>
          <a:r>
            <a:rPr lang="sv-SE" sz="1100" b="0" i="0" baseline="0">
              <a:solidFill>
                <a:schemeClr val="tx1"/>
              </a:solidFill>
              <a:effectLst/>
              <a:latin typeface="Cambria" panose="02040503050406030204" pitchFamily="18" charset="0"/>
              <a:ea typeface="+mn-ea"/>
              <a:cs typeface="+mn-cs"/>
            </a:rPr>
            <a:t> Betesnettot redovisar du som en särskild kalkyl för företagets betesmarker och/eller via en ersättningsnivå för uthyrning av betesdjur i området.</a:t>
          </a:r>
        </a:p>
        <a:p>
          <a:pPr eaLnBrk="1" fontAlgn="auto" latinLnBrk="0" hangingPunct="1"/>
          <a:endParaRPr lang="sv-SE">
            <a:effectLst/>
            <a:latin typeface="Cambria" panose="02040503050406030204" pitchFamily="18" charset="0"/>
          </a:endParaRPr>
        </a:p>
        <a:p>
          <a:pPr eaLnBrk="1" fontAlgn="auto" latinLnBrk="0" hangingPunct="1"/>
          <a:r>
            <a:rPr lang="sv-SE" sz="1100" b="0" i="0" baseline="0">
              <a:solidFill>
                <a:schemeClr val="tx1"/>
              </a:solidFill>
              <a:effectLst/>
              <a:latin typeface="Cambria" panose="02040503050406030204" pitchFamily="18" charset="0"/>
              <a:ea typeface="+mn-ea"/>
              <a:cs typeface="+mn-cs"/>
            </a:rPr>
            <a:t>Observera att investeringsstödet beaktas i fliken investeringskalkyl.</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Kalv</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Här räknar</a:t>
          </a:r>
          <a:r>
            <a:rPr lang="sv-SE" sz="1100" b="0" baseline="0">
              <a:solidFill>
                <a:schemeClr val="tx1"/>
              </a:solidFill>
              <a:effectLst/>
              <a:latin typeface="Cambria" panose="02040503050406030204" pitchFamily="18" charset="0"/>
              <a:ea typeface="+mn-ea"/>
              <a:cs typeface="+mn-cs"/>
            </a:rPr>
            <a:t> du med värdet på kalvarna som sätts in i stallet, oavsett om de köps in eller kommer från den egna produktionen.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4853940"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29</v>
      </c>
    </row>
    <row r="2" spans="1:1" x14ac:dyDescent="0.3">
      <c r="A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80"/>
  <sheetViews>
    <sheetView tabSelected="1" topLeftCell="A10" workbookViewId="0">
      <selection activeCell="E21" sqref="E21"/>
    </sheetView>
  </sheetViews>
  <sheetFormatPr defaultColWidth="9.109375" defaultRowHeight="13.8" x14ac:dyDescent="0.25"/>
  <cols>
    <col min="1" max="1" width="38.44140625" style="3" customWidth="1"/>
    <col min="2" max="2" width="16.44140625" style="3" bestFit="1" customWidth="1"/>
    <col min="3" max="3" width="12" style="3" customWidth="1"/>
    <col min="4" max="4" width="10.44140625" style="3" customWidth="1"/>
    <col min="5" max="5" width="14" style="3" bestFit="1" customWidth="1"/>
    <col min="6" max="6" width="16.33203125" style="3" bestFit="1" customWidth="1"/>
    <col min="7" max="16384" width="9.109375" style="3"/>
  </cols>
  <sheetData>
    <row r="1" spans="1:7" ht="27.6" x14ac:dyDescent="0.45">
      <c r="A1" s="2" t="s">
        <v>80</v>
      </c>
    </row>
    <row r="2" spans="1:7" ht="17.399999999999999" x14ac:dyDescent="0.3">
      <c r="A2" s="87" t="s">
        <v>136</v>
      </c>
    </row>
    <row r="3" spans="1:7" ht="14.4" thickBot="1" x14ac:dyDescent="0.3">
      <c r="A3" s="4"/>
    </row>
    <row r="4" spans="1:7" x14ac:dyDescent="0.25">
      <c r="A4" s="5" t="s">
        <v>26</v>
      </c>
      <c r="B4" s="6"/>
      <c r="C4" s="7"/>
      <c r="D4" s="8"/>
      <c r="F4" s="9"/>
      <c r="G4" s="9"/>
    </row>
    <row r="5" spans="1:7" x14ac:dyDescent="0.25">
      <c r="A5" s="77" t="s">
        <v>28</v>
      </c>
      <c r="B5" s="78" t="s">
        <v>27</v>
      </c>
      <c r="C5" s="78"/>
      <c r="D5" s="79"/>
      <c r="F5" s="9"/>
      <c r="G5" s="9"/>
    </row>
    <row r="6" spans="1:7" x14ac:dyDescent="0.25">
      <c r="A6" s="100" t="s">
        <v>138</v>
      </c>
      <c r="B6" s="101" t="s">
        <v>137</v>
      </c>
      <c r="C6" s="102"/>
      <c r="D6" s="103"/>
      <c r="E6" s="9"/>
      <c r="F6" s="11"/>
      <c r="G6" s="9"/>
    </row>
    <row r="7" spans="1:7" x14ac:dyDescent="0.25">
      <c r="A7" s="100" t="s">
        <v>139</v>
      </c>
      <c r="B7" s="101" t="s">
        <v>137</v>
      </c>
      <c r="C7" s="102"/>
      <c r="D7" s="103"/>
      <c r="E7" s="9"/>
      <c r="F7" s="11"/>
      <c r="G7" s="9"/>
    </row>
    <row r="8" spans="1:7" x14ac:dyDescent="0.25">
      <c r="A8" s="100" t="s">
        <v>140</v>
      </c>
      <c r="B8" s="101" t="s">
        <v>137</v>
      </c>
      <c r="C8" s="102"/>
      <c r="D8" s="103"/>
      <c r="E8" s="9"/>
      <c r="F8" s="11"/>
      <c r="G8" s="9"/>
    </row>
    <row r="9" spans="1:7" ht="14.4" thickBot="1" x14ac:dyDescent="0.3">
      <c r="A9" s="202" t="s">
        <v>141</v>
      </c>
      <c r="B9" s="203" t="s">
        <v>137</v>
      </c>
      <c r="C9" s="204"/>
      <c r="D9" s="104"/>
      <c r="E9" s="9"/>
      <c r="F9" s="11"/>
      <c r="G9" s="9"/>
    </row>
    <row r="10" spans="1:7" x14ac:dyDescent="0.25">
      <c r="A10" s="4"/>
    </row>
    <row r="11" spans="1:7" ht="14.4" thickBot="1" x14ac:dyDescent="0.3">
      <c r="A11" s="52"/>
      <c r="B11" s="51"/>
      <c r="C11" s="52"/>
      <c r="D11" s="52"/>
    </row>
    <row r="12" spans="1:7" x14ac:dyDescent="0.25">
      <c r="A12" s="74" t="s">
        <v>86</v>
      </c>
      <c r="B12" s="75" t="s">
        <v>81</v>
      </c>
      <c r="C12" s="76" t="s">
        <v>23</v>
      </c>
      <c r="D12" s="53"/>
    </row>
    <row r="13" spans="1:7" x14ac:dyDescent="0.25">
      <c r="A13" s="57" t="s">
        <v>24</v>
      </c>
      <c r="B13" s="105">
        <v>272</v>
      </c>
      <c r="C13" s="180" t="s">
        <v>34</v>
      </c>
      <c r="D13" s="9" t="s">
        <v>107</v>
      </c>
    </row>
    <row r="14" spans="1:7" x14ac:dyDescent="0.25">
      <c r="A14" s="14" t="s">
        <v>82</v>
      </c>
      <c r="B14" s="106">
        <v>1537</v>
      </c>
      <c r="C14" s="12" t="s">
        <v>1</v>
      </c>
    </row>
    <row r="15" spans="1:7" ht="28.5" customHeight="1" x14ac:dyDescent="0.25">
      <c r="A15" s="10" t="s">
        <v>83</v>
      </c>
      <c r="B15" s="106">
        <v>552</v>
      </c>
      <c r="C15" s="12" t="s">
        <v>1</v>
      </c>
      <c r="D15" s="9"/>
    </row>
    <row r="16" spans="1:7" x14ac:dyDescent="0.25">
      <c r="A16" s="15" t="s">
        <v>84</v>
      </c>
      <c r="B16" s="107">
        <v>10</v>
      </c>
      <c r="C16" s="16" t="s">
        <v>1</v>
      </c>
      <c r="D16" s="9"/>
    </row>
    <row r="17" spans="1:6" ht="14.4" thickBot="1" x14ac:dyDescent="0.3">
      <c r="A17" s="20" t="s">
        <v>0</v>
      </c>
      <c r="B17" s="99">
        <f>SUM(B14:B15)</f>
        <v>2089</v>
      </c>
      <c r="C17" s="64" t="s">
        <v>1</v>
      </c>
      <c r="D17" s="13"/>
      <c r="E17" s="13"/>
      <c r="F17" s="13"/>
    </row>
    <row r="18" spans="1:6" x14ac:dyDescent="0.25">
      <c r="A18" s="74" t="s">
        <v>80</v>
      </c>
      <c r="B18" s="75" t="s">
        <v>81</v>
      </c>
      <c r="C18" s="76" t="s">
        <v>23</v>
      </c>
      <c r="D18" s="53"/>
    </row>
    <row r="19" spans="1:6" ht="27.6" x14ac:dyDescent="0.25">
      <c r="A19" s="57" t="s">
        <v>99</v>
      </c>
      <c r="B19" s="191">
        <f>Investeringskalkyl!F71</f>
        <v>6038052.2000000002</v>
      </c>
      <c r="C19" s="58" t="s">
        <v>37</v>
      </c>
      <c r="D19" s="53"/>
    </row>
    <row r="20" spans="1:6" x14ac:dyDescent="0.25">
      <c r="A20" s="57" t="s">
        <v>101</v>
      </c>
      <c r="B20" s="192">
        <f>IF(Investeringskalkyl!$C$13="suggor",#REF!)+IF(Investeringskalkyl!$C$13="slaktgrisar",#REF!)+IF(Investeringskalkyl!$C$13="tackor",#REF!)+IF(Investeringskalkyl!$C$13="dikor",#REF!)+IF(Investeringskalkyl!$C$13="slaktungnöt",'Driftkalkyl - Slaktungnöt'!$B$11)+IF(Investeringskalkyl!$C$13="mjölkkor",#REF!)</f>
        <v>471777.93799524964</v>
      </c>
      <c r="C20" s="58" t="s">
        <v>64</v>
      </c>
      <c r="D20" s="53"/>
      <c r="E20" s="85"/>
      <c r="F20" s="86"/>
    </row>
    <row r="21" spans="1:6" ht="27.6" x14ac:dyDescent="0.25">
      <c r="A21" s="57" t="s">
        <v>102</v>
      </c>
      <c r="B21" s="192">
        <f>$B$20+(IF(Investeringskalkyl!$C$13="suggor",#REF!)+IF(Investeringskalkyl!$C$13="slaktgrisar",#REF!)+IF(Investeringskalkyl!$C$13="tackor",#REF!)+IF(Investeringskalkyl!$C$13="dikor",#REF!)+IF(Investeringskalkyl!$C$13="slaktungnöt",'Driftkalkyl - Slaktungnöt'!$G$45)+IF(Investeringskalkyl!$C$13="mjölkkor",#REF!))</f>
        <v>1053497.6996472804</v>
      </c>
      <c r="C21" s="58" t="s">
        <v>64</v>
      </c>
      <c r="D21" s="53"/>
    </row>
    <row r="22" spans="1:6" ht="27.6" x14ac:dyDescent="0.25">
      <c r="A22" s="57" t="s">
        <v>67</v>
      </c>
      <c r="B22" s="181">
        <v>0.05</v>
      </c>
      <c r="C22" s="58"/>
      <c r="D22" s="53"/>
    </row>
    <row r="23" spans="1:6" x14ac:dyDescent="0.25">
      <c r="A23" s="57" t="s">
        <v>68</v>
      </c>
      <c r="B23" s="181">
        <v>0.01</v>
      </c>
      <c r="C23" s="58" t="s">
        <v>69</v>
      </c>
      <c r="D23" s="53"/>
    </row>
    <row r="24" spans="1:6" x14ac:dyDescent="0.25">
      <c r="A24" s="57" t="s">
        <v>70</v>
      </c>
      <c r="B24" s="88">
        <f>(1+$B$22)/(1+$B$23)-1</f>
        <v>3.9603960396039639E-2</v>
      </c>
      <c r="C24" s="58"/>
      <c r="D24" s="53"/>
    </row>
    <row r="25" spans="1:6" x14ac:dyDescent="0.25">
      <c r="A25" s="57" t="s">
        <v>62</v>
      </c>
      <c r="B25" s="62">
        <v>15</v>
      </c>
      <c r="C25" s="58" t="s">
        <v>63</v>
      </c>
      <c r="D25" s="53"/>
    </row>
    <row r="26" spans="1:6" ht="27.6" x14ac:dyDescent="0.25">
      <c r="A26" s="57" t="s">
        <v>120</v>
      </c>
      <c r="B26" s="97">
        <f>($B$21*((1-(1+$B$24)^(-$B$25))/$B$24))</f>
        <v>11745699.296874175</v>
      </c>
      <c r="C26" s="58" t="s">
        <v>64</v>
      </c>
      <c r="D26" s="53"/>
    </row>
    <row r="27" spans="1:6" ht="14.4" thickBot="1" x14ac:dyDescent="0.3">
      <c r="A27" s="65" t="s">
        <v>98</v>
      </c>
      <c r="B27" s="98">
        <f>-$B$19+($B$21*((1-(1+$B$24)^(-$B$25))/$B$24))</f>
        <v>5707647.0968741747</v>
      </c>
      <c r="C27" s="66" t="s">
        <v>37</v>
      </c>
      <c r="D27" s="53"/>
    </row>
    <row r="28" spans="1:6" x14ac:dyDescent="0.25">
      <c r="A28" s="63"/>
      <c r="B28" s="84"/>
      <c r="C28" s="60"/>
      <c r="D28" s="53"/>
    </row>
    <row r="29" spans="1:6" ht="14.4" thickBot="1" x14ac:dyDescent="0.3">
      <c r="A29" s="63"/>
      <c r="B29" s="63"/>
      <c r="C29" s="60"/>
      <c r="D29" s="53"/>
    </row>
    <row r="30" spans="1:6" ht="15" x14ac:dyDescent="0.25">
      <c r="A30" s="71" t="s">
        <v>85</v>
      </c>
      <c r="B30" s="72"/>
      <c r="C30" s="72"/>
      <c r="D30" s="72"/>
      <c r="E30" s="72"/>
      <c r="F30" s="73"/>
    </row>
    <row r="31" spans="1:6" s="17" customFormat="1" ht="15" x14ac:dyDescent="0.25">
      <c r="A31" s="67" t="s">
        <v>2</v>
      </c>
      <c r="B31" s="68" t="s">
        <v>6</v>
      </c>
      <c r="C31" s="69" t="s">
        <v>5</v>
      </c>
      <c r="D31" s="69" t="s">
        <v>23</v>
      </c>
      <c r="E31" s="69" t="s">
        <v>4</v>
      </c>
      <c r="F31" s="70" t="s">
        <v>3</v>
      </c>
    </row>
    <row r="32" spans="1:6" x14ac:dyDescent="0.25">
      <c r="A32" s="18" t="s">
        <v>7</v>
      </c>
      <c r="B32" s="108"/>
      <c r="C32" s="109"/>
      <c r="D32" s="109"/>
      <c r="E32" s="110"/>
      <c r="F32" s="80"/>
    </row>
    <row r="33" spans="1:6" x14ac:dyDescent="0.25">
      <c r="A33" s="198" t="s">
        <v>16</v>
      </c>
      <c r="B33" s="41">
        <v>1</v>
      </c>
      <c r="C33" s="109">
        <v>1</v>
      </c>
      <c r="D33" s="109"/>
      <c r="E33" s="110">
        <v>298850</v>
      </c>
      <c r="F33" s="89">
        <f t="shared" ref="F33:F58" si="0">C33*E33</f>
        <v>298850</v>
      </c>
    </row>
    <row r="34" spans="1:6" x14ac:dyDescent="0.25">
      <c r="A34" s="198" t="s">
        <v>17</v>
      </c>
      <c r="B34" s="41">
        <v>2</v>
      </c>
      <c r="C34" s="109">
        <v>1</v>
      </c>
      <c r="D34" s="109"/>
      <c r="E34" s="110">
        <v>263250</v>
      </c>
      <c r="F34" s="89">
        <f t="shared" si="0"/>
        <v>263250</v>
      </c>
    </row>
    <row r="35" spans="1:6" x14ac:dyDescent="0.25">
      <c r="A35" s="20" t="s">
        <v>19</v>
      </c>
      <c r="B35" s="196"/>
      <c r="C35" s="111"/>
      <c r="D35" s="111"/>
      <c r="E35" s="112"/>
      <c r="F35" s="90">
        <f>SUM(F33:F34)</f>
        <v>562100</v>
      </c>
    </row>
    <row r="36" spans="1:6" x14ac:dyDescent="0.25">
      <c r="A36" s="24" t="s">
        <v>8</v>
      </c>
      <c r="B36" s="197"/>
      <c r="C36" s="113"/>
      <c r="D36" s="113"/>
      <c r="E36" s="114"/>
      <c r="F36" s="80"/>
    </row>
    <row r="37" spans="1:6" x14ac:dyDescent="0.25">
      <c r="A37" s="198" t="s">
        <v>9</v>
      </c>
      <c r="B37" s="41">
        <v>3</v>
      </c>
      <c r="C37" s="109">
        <v>1</v>
      </c>
      <c r="D37" s="109"/>
      <c r="E37" s="110">
        <f>4100000-25000</f>
        <v>4075000</v>
      </c>
      <c r="F37" s="89">
        <f t="shared" si="0"/>
        <v>4075000</v>
      </c>
    </row>
    <row r="38" spans="1:6" x14ac:dyDescent="0.25">
      <c r="A38" s="198" t="s">
        <v>10</v>
      </c>
      <c r="B38" s="41">
        <v>4</v>
      </c>
      <c r="C38" s="109">
        <v>1</v>
      </c>
      <c r="D38" s="109"/>
      <c r="E38" s="110">
        <v>10000</v>
      </c>
      <c r="F38" s="89">
        <f t="shared" si="0"/>
        <v>10000</v>
      </c>
    </row>
    <row r="39" spans="1:6" x14ac:dyDescent="0.25">
      <c r="A39" s="198" t="s">
        <v>11</v>
      </c>
      <c r="B39" s="41">
        <v>5</v>
      </c>
      <c r="C39" s="109">
        <v>1</v>
      </c>
      <c r="D39" s="109"/>
      <c r="E39" s="110">
        <v>5000</v>
      </c>
      <c r="F39" s="89">
        <f t="shared" si="0"/>
        <v>5000</v>
      </c>
    </row>
    <row r="40" spans="1:6" x14ac:dyDescent="0.25">
      <c r="A40" s="20" t="s">
        <v>151</v>
      </c>
      <c r="B40" s="194"/>
      <c r="C40" s="111"/>
      <c r="D40" s="111"/>
      <c r="E40" s="112"/>
      <c r="F40" s="90">
        <f>SUM(F37:F39)</f>
        <v>4090000</v>
      </c>
    </row>
    <row r="41" spans="1:6" x14ac:dyDescent="0.25">
      <c r="A41" s="24" t="s">
        <v>12</v>
      </c>
      <c r="B41" s="195"/>
      <c r="C41" s="113"/>
      <c r="D41" s="113"/>
      <c r="E41" s="114"/>
      <c r="F41" s="80"/>
    </row>
    <row r="42" spans="1:6" x14ac:dyDescent="0.25">
      <c r="A42" s="198" t="s">
        <v>148</v>
      </c>
      <c r="B42" s="41">
        <v>6</v>
      </c>
      <c r="C42" s="199">
        <v>1</v>
      </c>
      <c r="D42" s="199"/>
      <c r="E42" s="200">
        <v>96178</v>
      </c>
      <c r="F42" s="201">
        <f t="shared" si="0"/>
        <v>96178</v>
      </c>
    </row>
    <row r="43" spans="1:6" x14ac:dyDescent="0.25">
      <c r="A43" s="198" t="s">
        <v>149</v>
      </c>
      <c r="B43" s="41">
        <v>7</v>
      </c>
      <c r="C43" s="199">
        <v>1</v>
      </c>
      <c r="D43" s="199"/>
      <c r="E43" s="200">
        <v>387000</v>
      </c>
      <c r="F43" s="89">
        <f t="shared" si="0"/>
        <v>387000</v>
      </c>
    </row>
    <row r="44" spans="1:6" x14ac:dyDescent="0.25">
      <c r="A44" s="20" t="s">
        <v>20</v>
      </c>
      <c r="B44" s="194"/>
      <c r="C44" s="111"/>
      <c r="D44" s="111"/>
      <c r="E44" s="112"/>
      <c r="F44" s="90">
        <f>SUM(F42:F43)</f>
        <v>483178</v>
      </c>
    </row>
    <row r="45" spans="1:6" x14ac:dyDescent="0.25">
      <c r="A45" s="24" t="s">
        <v>18</v>
      </c>
      <c r="B45" s="195"/>
      <c r="C45" s="113"/>
      <c r="D45" s="113"/>
      <c r="E45" s="114"/>
      <c r="F45" s="80"/>
    </row>
    <row r="46" spans="1:6" x14ac:dyDescent="0.25">
      <c r="A46" s="14" t="s">
        <v>142</v>
      </c>
      <c r="B46" s="41">
        <v>8</v>
      </c>
      <c r="C46" s="109">
        <v>1</v>
      </c>
      <c r="D46" s="109"/>
      <c r="E46" s="110">
        <v>335000</v>
      </c>
      <c r="F46" s="89">
        <f t="shared" si="0"/>
        <v>335000</v>
      </c>
    </row>
    <row r="47" spans="1:6" x14ac:dyDescent="0.25">
      <c r="A47" s="14" t="s">
        <v>126</v>
      </c>
      <c r="B47" s="41">
        <v>9</v>
      </c>
      <c r="C47" s="109">
        <v>1</v>
      </c>
      <c r="D47" s="109"/>
      <c r="E47" s="110">
        <v>81660</v>
      </c>
      <c r="F47" s="89">
        <f t="shared" si="0"/>
        <v>81660</v>
      </c>
    </row>
    <row r="48" spans="1:6" x14ac:dyDescent="0.25">
      <c r="A48" s="14" t="s">
        <v>143</v>
      </c>
      <c r="B48" s="41">
        <v>10</v>
      </c>
      <c r="C48" s="109">
        <v>1</v>
      </c>
      <c r="D48" s="109"/>
      <c r="E48" s="110">
        <v>72660</v>
      </c>
      <c r="F48" s="89">
        <f t="shared" si="0"/>
        <v>72660</v>
      </c>
    </row>
    <row r="49" spans="1:6" x14ac:dyDescent="0.25">
      <c r="A49" s="14" t="s">
        <v>133</v>
      </c>
      <c r="B49" s="41">
        <v>11</v>
      </c>
      <c r="C49" s="109">
        <v>1</v>
      </c>
      <c r="D49" s="109"/>
      <c r="E49" s="110">
        <v>400050</v>
      </c>
      <c r="F49" s="89">
        <f>C49*E49</f>
        <v>400050</v>
      </c>
    </row>
    <row r="50" spans="1:6" x14ac:dyDescent="0.25">
      <c r="A50" s="14" t="s">
        <v>144</v>
      </c>
      <c r="B50" s="41">
        <v>12</v>
      </c>
      <c r="C50" s="109">
        <v>1</v>
      </c>
      <c r="D50" s="109"/>
      <c r="E50" s="110">
        <v>76000</v>
      </c>
      <c r="F50" s="89">
        <f t="shared" si="0"/>
        <v>76000</v>
      </c>
    </row>
    <row r="51" spans="1:6" x14ac:dyDescent="0.25">
      <c r="A51" s="14" t="s">
        <v>135</v>
      </c>
      <c r="B51" s="41">
        <v>13</v>
      </c>
      <c r="C51" s="109">
        <v>0</v>
      </c>
      <c r="D51" s="109"/>
      <c r="E51" s="110">
        <f>58300+(6*1500)</f>
        <v>67300</v>
      </c>
      <c r="F51" s="89">
        <f t="shared" si="0"/>
        <v>0</v>
      </c>
    </row>
    <row r="52" spans="1:6" x14ac:dyDescent="0.25">
      <c r="A52" s="14" t="s">
        <v>127</v>
      </c>
      <c r="B52" s="41">
        <v>14</v>
      </c>
      <c r="C52" s="109">
        <v>2</v>
      </c>
      <c r="D52" s="109"/>
      <c r="E52" s="110">
        <v>6000</v>
      </c>
      <c r="F52" s="89">
        <f t="shared" si="0"/>
        <v>12000</v>
      </c>
    </row>
    <row r="53" spans="1:6" x14ac:dyDescent="0.25">
      <c r="A53" s="3" t="s">
        <v>128</v>
      </c>
      <c r="B53" s="41">
        <v>15</v>
      </c>
      <c r="C53" s="109">
        <v>0.65</v>
      </c>
      <c r="D53" s="109"/>
      <c r="E53" s="110">
        <v>95000</v>
      </c>
      <c r="F53" s="89">
        <f t="shared" si="0"/>
        <v>61750</v>
      </c>
    </row>
    <row r="54" spans="1:6" x14ac:dyDescent="0.25">
      <c r="A54" s="14" t="s">
        <v>130</v>
      </c>
      <c r="B54" s="41">
        <v>16</v>
      </c>
      <c r="C54" s="109">
        <v>0.5</v>
      </c>
      <c r="D54" s="109"/>
      <c r="E54" s="110">
        <v>349000</v>
      </c>
      <c r="F54" s="89">
        <f t="shared" si="0"/>
        <v>174500</v>
      </c>
    </row>
    <row r="55" spans="1:6" x14ac:dyDescent="0.25">
      <c r="A55" s="14" t="s">
        <v>129</v>
      </c>
      <c r="B55" s="41">
        <v>17</v>
      </c>
      <c r="C55" s="109">
        <v>0.4</v>
      </c>
      <c r="D55" s="109"/>
      <c r="E55" s="110">
        <v>120000</v>
      </c>
      <c r="F55" s="89">
        <f t="shared" si="0"/>
        <v>48000</v>
      </c>
    </row>
    <row r="56" spans="1:6" x14ac:dyDescent="0.25">
      <c r="A56" s="3" t="s">
        <v>131</v>
      </c>
      <c r="B56" s="41">
        <v>18</v>
      </c>
      <c r="C56" s="109">
        <v>0.3</v>
      </c>
      <c r="D56" s="109"/>
      <c r="E56" s="110">
        <v>45000</v>
      </c>
      <c r="F56" s="89">
        <f t="shared" si="0"/>
        <v>13500</v>
      </c>
    </row>
    <row r="57" spans="1:6" x14ac:dyDescent="0.25">
      <c r="A57" s="14" t="s">
        <v>132</v>
      </c>
      <c r="B57" s="41">
        <v>19</v>
      </c>
      <c r="C57" s="109">
        <v>0.6</v>
      </c>
      <c r="D57" s="109"/>
      <c r="E57" s="110">
        <v>39000</v>
      </c>
      <c r="F57" s="89">
        <f t="shared" si="0"/>
        <v>23400</v>
      </c>
    </row>
    <row r="58" spans="1:6" x14ac:dyDescent="0.25">
      <c r="A58" s="14" t="s">
        <v>134</v>
      </c>
      <c r="B58" s="41">
        <v>20</v>
      </c>
      <c r="C58" s="109">
        <v>1</v>
      </c>
      <c r="D58" s="109"/>
      <c r="E58" s="110">
        <f>3699*0.8</f>
        <v>2959.2000000000003</v>
      </c>
      <c r="F58" s="89">
        <f t="shared" si="0"/>
        <v>2959.2000000000003</v>
      </c>
    </row>
    <row r="59" spans="1:6" x14ac:dyDescent="0.25">
      <c r="A59" s="20" t="s">
        <v>21</v>
      </c>
      <c r="B59" s="194"/>
      <c r="C59" s="111"/>
      <c r="D59" s="111"/>
      <c r="E59" s="112"/>
      <c r="F59" s="90">
        <f>SUM(F46:F58)</f>
        <v>1301479.2</v>
      </c>
    </row>
    <row r="60" spans="1:6" x14ac:dyDescent="0.25">
      <c r="A60" s="24" t="s">
        <v>13</v>
      </c>
      <c r="B60" s="195"/>
      <c r="C60" s="113"/>
      <c r="D60" s="113"/>
      <c r="E60" s="114"/>
      <c r="F60" s="81"/>
    </row>
    <row r="61" spans="1:6" x14ac:dyDescent="0.25">
      <c r="A61" s="198" t="s">
        <v>150</v>
      </c>
      <c r="B61" s="41">
        <v>21</v>
      </c>
      <c r="C61" s="199">
        <v>1</v>
      </c>
      <c r="D61" s="199"/>
      <c r="E61" s="200">
        <v>207575</v>
      </c>
      <c r="F61" s="201">
        <f t="shared" ref="F61:F63" si="1">C61*E61</f>
        <v>207575</v>
      </c>
    </row>
    <row r="62" spans="1:6" x14ac:dyDescent="0.25">
      <c r="A62" s="198" t="s">
        <v>14</v>
      </c>
      <c r="B62" s="41">
        <v>22</v>
      </c>
      <c r="C62" s="109">
        <v>1</v>
      </c>
      <c r="D62" s="109"/>
      <c r="E62" s="110">
        <v>62500</v>
      </c>
      <c r="F62" s="89">
        <f t="shared" si="1"/>
        <v>62500</v>
      </c>
    </row>
    <row r="63" spans="1:6" x14ac:dyDescent="0.25">
      <c r="A63" s="198" t="s">
        <v>145</v>
      </c>
      <c r="B63" s="41">
        <v>23</v>
      </c>
      <c r="C63" s="199">
        <v>1</v>
      </c>
      <c r="D63" s="199"/>
      <c r="E63" s="200">
        <v>335000</v>
      </c>
      <c r="F63" s="89">
        <f t="shared" si="1"/>
        <v>335000</v>
      </c>
    </row>
    <row r="64" spans="1:6" x14ac:dyDescent="0.25">
      <c r="A64" s="20" t="s">
        <v>22</v>
      </c>
      <c r="B64" s="194"/>
      <c r="C64" s="111"/>
      <c r="D64" s="111"/>
      <c r="E64" s="112"/>
      <c r="F64" s="90">
        <f>SUM(F61:F63)</f>
        <v>605075</v>
      </c>
    </row>
    <row r="65" spans="1:6" x14ac:dyDescent="0.25">
      <c r="A65" s="24" t="s">
        <v>71</v>
      </c>
      <c r="B65" s="195"/>
      <c r="C65" s="113"/>
      <c r="D65" s="113"/>
      <c r="E65" s="114"/>
      <c r="F65" s="81"/>
    </row>
    <row r="66" spans="1:6" x14ac:dyDescent="0.25">
      <c r="A66" s="198" t="s">
        <v>15</v>
      </c>
      <c r="B66" s="41">
        <v>24</v>
      </c>
      <c r="C66" s="199">
        <v>1</v>
      </c>
      <c r="D66" s="199"/>
      <c r="E66" s="110">
        <v>112320</v>
      </c>
      <c r="F66" s="89">
        <f>C66*E66</f>
        <v>112320</v>
      </c>
    </row>
    <row r="67" spans="1:6" x14ac:dyDescent="0.25">
      <c r="A67" s="198" t="s">
        <v>73</v>
      </c>
      <c r="B67" s="41">
        <v>25</v>
      </c>
      <c r="C67" s="96">
        <v>0.05</v>
      </c>
      <c r="D67" s="109"/>
      <c r="E67" s="110">
        <v>83900</v>
      </c>
      <c r="F67" s="89">
        <f>E67</f>
        <v>83900</v>
      </c>
    </row>
    <row r="68" spans="1:6" x14ac:dyDescent="0.25">
      <c r="A68" s="20" t="s">
        <v>72</v>
      </c>
      <c r="B68" s="21"/>
      <c r="C68" s="22"/>
      <c r="D68" s="22"/>
      <c r="E68" s="23"/>
      <c r="F68" s="90">
        <f>SUM(F66:F67)</f>
        <v>196220</v>
      </c>
    </row>
    <row r="69" spans="1:6" x14ac:dyDescent="0.25">
      <c r="A69" s="26" t="s">
        <v>121</v>
      </c>
      <c r="B69" s="25"/>
      <c r="C69" s="27"/>
      <c r="D69" s="27"/>
      <c r="E69" s="28"/>
      <c r="F69" s="91">
        <f>$F$35+$F$40+$F$44+$F$59+$F$64+$F$68</f>
        <v>7238052.2000000002</v>
      </c>
    </row>
    <row r="70" spans="1:6" s="46" customFormat="1" x14ac:dyDescent="0.25">
      <c r="A70" s="42" t="s">
        <v>58</v>
      </c>
      <c r="B70" s="43"/>
      <c r="C70" s="44"/>
      <c r="D70" s="44"/>
      <c r="E70" s="45"/>
      <c r="F70" s="92">
        <f>IF(($F$69*0.4)&lt;1200000,-$F$69*0.4,-1200000)</f>
        <v>-1200000</v>
      </c>
    </row>
    <row r="71" spans="1:6" s="9" customFormat="1" x14ac:dyDescent="0.25">
      <c r="A71" s="54" t="s">
        <v>65</v>
      </c>
      <c r="B71" s="21"/>
      <c r="C71" s="55"/>
      <c r="D71" s="55"/>
      <c r="E71" s="56"/>
      <c r="F71" s="93">
        <f>$F$69+$F$70</f>
        <v>6038052.2000000002</v>
      </c>
    </row>
    <row r="72" spans="1:6" s="9" customFormat="1" x14ac:dyDescent="0.25">
      <c r="A72" s="29" t="s">
        <v>59</v>
      </c>
      <c r="B72" s="19"/>
      <c r="C72" s="30"/>
      <c r="D72" s="30"/>
      <c r="E72" s="31"/>
      <c r="F72" s="94">
        <f>$F$69/$B$13</f>
        <v>26610.486029411764</v>
      </c>
    </row>
    <row r="73" spans="1:6" x14ac:dyDescent="0.25">
      <c r="A73" s="29" t="s">
        <v>66</v>
      </c>
      <c r="B73" s="19"/>
      <c r="C73" s="30"/>
      <c r="D73" s="30"/>
      <c r="E73" s="31"/>
      <c r="F73" s="94">
        <f>($F$69+$F$70)/$B$13</f>
        <v>22198.721323529411</v>
      </c>
    </row>
    <row r="74" spans="1:6" x14ac:dyDescent="0.25">
      <c r="A74" s="32" t="s">
        <v>25</v>
      </c>
      <c r="B74" s="182">
        <v>26</v>
      </c>
      <c r="C74" s="183"/>
      <c r="D74" s="183"/>
      <c r="E74" s="184"/>
      <c r="F74" s="185">
        <v>25000</v>
      </c>
    </row>
    <row r="75" spans="1:6" ht="14.4" thickBot="1" x14ac:dyDescent="0.3">
      <c r="A75" s="33" t="s">
        <v>122</v>
      </c>
      <c r="B75" s="34"/>
      <c r="C75" s="35"/>
      <c r="D75" s="35"/>
      <c r="E75" s="35"/>
      <c r="F75" s="95">
        <f>$F$69+$F$74</f>
        <v>7263052.2000000002</v>
      </c>
    </row>
    <row r="80" spans="1:6" x14ac:dyDescent="0.25">
      <c r="A80" s="57"/>
      <c r="B80" s="59"/>
      <c r="C80" s="59"/>
      <c r="D80" s="53"/>
    </row>
  </sheetData>
  <dataValidations count="1">
    <dataValidation type="list" allowBlank="1" showInputMessage="1" showErrorMessage="1" promptTitle="Välj djurslag" sqref="C13">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Z68"/>
  <sheetViews>
    <sheetView zoomScaleNormal="100" workbookViewId="0">
      <selection activeCell="E3" sqref="E3"/>
    </sheetView>
  </sheetViews>
  <sheetFormatPr defaultColWidth="9.109375" defaultRowHeight="13.8" x14ac:dyDescent="0.25"/>
  <cols>
    <col min="1" max="1" width="34.44140625" style="136" bestFit="1" customWidth="1"/>
    <col min="2" max="2" width="14.109375" style="136" customWidth="1"/>
    <col min="3" max="3" width="13.109375" style="136" bestFit="1" customWidth="1"/>
    <col min="4" max="4" width="9.109375" style="136" customWidth="1"/>
    <col min="5" max="5" width="15.33203125" style="136" customWidth="1"/>
    <col min="6" max="6" width="14.44140625" style="136" bestFit="1" customWidth="1"/>
    <col min="7" max="7" width="15.6640625" style="136" bestFit="1" customWidth="1"/>
    <col min="8" max="8" width="9.109375" style="136"/>
    <col min="9" max="9" width="9.5546875" style="136" bestFit="1" customWidth="1"/>
    <col min="10" max="16384" width="9.109375" style="136"/>
  </cols>
  <sheetData>
    <row r="1" spans="1:4" ht="27.6" x14ac:dyDescent="0.45">
      <c r="A1" s="144" t="s">
        <v>105</v>
      </c>
    </row>
    <row r="2" spans="1:4" ht="14.4" thickBot="1" x14ac:dyDescent="0.3"/>
    <row r="3" spans="1:4" x14ac:dyDescent="0.25">
      <c r="A3" s="145" t="s">
        <v>51</v>
      </c>
      <c r="B3" s="146"/>
      <c r="C3" s="147"/>
    </row>
    <row r="4" spans="1:4" x14ac:dyDescent="0.25">
      <c r="A4" s="121" t="s">
        <v>24</v>
      </c>
      <c r="B4" s="148">
        <f>IF(Investeringskalkyl!$C$13="slaktungnöt",Investeringskalkyl!$B$13,0)</f>
        <v>272</v>
      </c>
      <c r="C4" s="149" t="s">
        <v>34</v>
      </c>
      <c r="D4" s="150"/>
    </row>
    <row r="5" spans="1:4" x14ac:dyDescent="0.25">
      <c r="A5" s="121" t="s">
        <v>108</v>
      </c>
      <c r="B5" s="102">
        <v>5.5</v>
      </c>
      <c r="C5" s="149" t="s">
        <v>109</v>
      </c>
      <c r="D5" s="150"/>
    </row>
    <row r="6" spans="1:4" x14ac:dyDescent="0.25">
      <c r="A6" s="121" t="s">
        <v>110</v>
      </c>
      <c r="B6" s="102">
        <v>15</v>
      </c>
      <c r="C6" s="149" t="s">
        <v>109</v>
      </c>
      <c r="D6" s="150"/>
    </row>
    <row r="7" spans="1:4" x14ac:dyDescent="0.25">
      <c r="A7" s="121" t="s">
        <v>111</v>
      </c>
      <c r="B7" s="148">
        <f>B6-B5</f>
        <v>9.5</v>
      </c>
      <c r="C7" s="149" t="s">
        <v>109</v>
      </c>
      <c r="D7" s="150"/>
    </row>
    <row r="8" spans="1:4" ht="15.75" customHeight="1" thickBot="1" x14ac:dyDescent="0.3">
      <c r="A8" s="122" t="s">
        <v>112</v>
      </c>
      <c r="B8" s="189">
        <f>B4</f>
        <v>272</v>
      </c>
      <c r="C8" s="151"/>
      <c r="D8" s="150"/>
    </row>
    <row r="9" spans="1:4" ht="14.4" thickBot="1" x14ac:dyDescent="0.3">
      <c r="A9" s="186"/>
    </row>
    <row r="10" spans="1:4" x14ac:dyDescent="0.25">
      <c r="A10" s="131" t="s">
        <v>55</v>
      </c>
      <c r="B10" s="132"/>
    </row>
    <row r="11" spans="1:4" ht="14.4" thickBot="1" x14ac:dyDescent="0.3">
      <c r="A11" s="120" t="s">
        <v>103</v>
      </c>
      <c r="B11" s="83">
        <f>$B$17*$B$8</f>
        <v>471777.93799524964</v>
      </c>
    </row>
    <row r="12" spans="1:4" x14ac:dyDescent="0.25">
      <c r="A12" s="121" t="s">
        <v>104</v>
      </c>
      <c r="B12" s="190">
        <f>$B$11/$G$24</f>
        <v>0.10142551390081454</v>
      </c>
    </row>
    <row r="13" spans="1:4" ht="14.4" thickBot="1" x14ac:dyDescent="0.3">
      <c r="A13" s="122" t="s">
        <v>106</v>
      </c>
      <c r="B13" s="123">
        <f>$G$48+$G$49</f>
        <v>401744</v>
      </c>
    </row>
    <row r="14" spans="1:4" x14ac:dyDescent="0.25">
      <c r="A14" s="131" t="s">
        <v>113</v>
      </c>
      <c r="B14" s="187"/>
    </row>
    <row r="15" spans="1:4" ht="18.75" customHeight="1" x14ac:dyDescent="0.25">
      <c r="A15" s="124" t="s">
        <v>77</v>
      </c>
      <c r="B15" s="82">
        <f>$F$24-$F$40</f>
        <v>5681.8608506000019</v>
      </c>
    </row>
    <row r="16" spans="1:4" x14ac:dyDescent="0.25">
      <c r="A16" s="124" t="s">
        <v>78</v>
      </c>
      <c r="B16" s="82">
        <f>$F$24-$F$40-$F$44</f>
        <v>5457.4731604679428</v>
      </c>
    </row>
    <row r="17" spans="1:52" ht="14.4" thickBot="1" x14ac:dyDescent="0.3">
      <c r="A17" s="120" t="s">
        <v>79</v>
      </c>
      <c r="B17" s="83">
        <f>$F$24-$F$40-$F44-$F$50</f>
        <v>1734.4777132178297</v>
      </c>
    </row>
    <row r="18" spans="1:52" s="138" customFormat="1" ht="12.15" customHeight="1" x14ac:dyDescent="0.25">
      <c r="A18" s="118"/>
      <c r="B18" s="116"/>
      <c r="C18" s="133"/>
      <c r="D18" s="133"/>
      <c r="E18" s="134"/>
      <c r="F18" s="134"/>
      <c r="G18" s="135"/>
      <c r="H18" s="136"/>
      <c r="I18" s="136"/>
      <c r="J18" s="136"/>
      <c r="K18" s="137"/>
      <c r="M18" s="135"/>
      <c r="N18" s="135"/>
      <c r="O18" s="135"/>
      <c r="P18" s="135"/>
      <c r="Q18" s="135"/>
      <c r="R18" s="135"/>
      <c r="S18" s="135"/>
      <c r="T18" s="135"/>
      <c r="U18" s="135"/>
      <c r="V18" s="135"/>
      <c r="Y18" s="139"/>
      <c r="Z18" s="139"/>
      <c r="AA18" s="139"/>
      <c r="AB18" s="139"/>
      <c r="AC18" s="140"/>
      <c r="AD18" s="140"/>
      <c r="AE18" s="140"/>
      <c r="AF18" s="140"/>
      <c r="AG18" s="140"/>
      <c r="AH18" s="140"/>
      <c r="AI18" s="140"/>
      <c r="AJ18" s="140"/>
      <c r="AK18" s="140"/>
    </row>
    <row r="19" spans="1:52" s="138" customFormat="1" ht="12.15" customHeight="1" x14ac:dyDescent="0.25">
      <c r="A19" s="141"/>
      <c r="B19" s="142"/>
      <c r="C19" s="143"/>
      <c r="D19" s="143"/>
      <c r="E19" s="143"/>
      <c r="F19" s="143"/>
      <c r="G19" s="135"/>
      <c r="H19" s="136"/>
      <c r="I19" s="136"/>
      <c r="J19" s="136"/>
      <c r="K19" s="137"/>
      <c r="M19" s="135"/>
      <c r="N19" s="135"/>
      <c r="O19" s="135"/>
      <c r="P19" s="135"/>
      <c r="Q19" s="135"/>
      <c r="R19" s="135"/>
      <c r="S19" s="135"/>
      <c r="T19" s="135"/>
      <c r="U19" s="135"/>
      <c r="V19" s="135"/>
      <c r="Y19" s="139"/>
      <c r="Z19" s="139"/>
      <c r="AA19" s="139"/>
      <c r="AB19" s="139"/>
      <c r="AC19" s="140"/>
      <c r="AD19" s="140"/>
      <c r="AE19" s="140"/>
      <c r="AF19" s="140"/>
      <c r="AG19" s="140"/>
      <c r="AH19" s="140"/>
      <c r="AI19" s="140"/>
      <c r="AJ19" s="140"/>
      <c r="AK19" s="140"/>
    </row>
    <row r="20" spans="1:52" s="138" customFormat="1" ht="27.6" x14ac:dyDescent="0.25">
      <c r="A20" s="152" t="s">
        <v>88</v>
      </c>
      <c r="B20" s="153" t="s">
        <v>6</v>
      </c>
      <c r="C20" s="154" t="s">
        <v>114</v>
      </c>
      <c r="D20" s="154" t="s">
        <v>23</v>
      </c>
      <c r="E20" s="154" t="s">
        <v>54</v>
      </c>
      <c r="F20" s="154" t="s">
        <v>115</v>
      </c>
      <c r="G20" s="155" t="s">
        <v>75</v>
      </c>
      <c r="H20" s="136"/>
      <c r="I20" s="136"/>
      <c r="J20" s="136"/>
      <c r="K20" s="137"/>
      <c r="M20" s="135"/>
      <c r="N20" s="135"/>
      <c r="O20" s="135"/>
      <c r="P20" s="135"/>
      <c r="Q20" s="135"/>
      <c r="R20" s="135"/>
      <c r="S20" s="135"/>
      <c r="T20" s="135"/>
      <c r="U20" s="135"/>
      <c r="V20" s="135"/>
      <c r="Y20" s="139"/>
      <c r="Z20" s="139"/>
      <c r="AA20" s="139"/>
      <c r="AB20" s="139"/>
      <c r="AC20" s="140"/>
      <c r="AD20" s="140"/>
      <c r="AE20" s="140"/>
      <c r="AF20" s="140"/>
      <c r="AG20" s="140"/>
      <c r="AH20" s="140"/>
      <c r="AI20" s="140"/>
      <c r="AJ20" s="140"/>
      <c r="AK20" s="140"/>
    </row>
    <row r="21" spans="1:52" s="138" customFormat="1" x14ac:dyDescent="0.25">
      <c r="A21" s="61" t="s">
        <v>94</v>
      </c>
      <c r="B21" s="41">
        <v>1</v>
      </c>
      <c r="C21" s="38">
        <v>373</v>
      </c>
      <c r="D21" s="36" t="s">
        <v>40</v>
      </c>
      <c r="E21" s="49">
        <v>45</v>
      </c>
      <c r="F21" s="125">
        <f>C21*E21</f>
        <v>16785</v>
      </c>
      <c r="G21" s="125">
        <f t="shared" ref="G21:G23" si="0">F21*$B$8</f>
        <v>4565520</v>
      </c>
      <c r="H21" s="136"/>
      <c r="I21" s="136"/>
      <c r="J21" s="136"/>
      <c r="K21" s="137"/>
      <c r="M21" s="135"/>
      <c r="N21" s="156"/>
      <c r="O21" s="135"/>
      <c r="P21" s="135"/>
      <c r="Q21" s="135"/>
      <c r="R21" s="135"/>
      <c r="S21" s="135"/>
      <c r="T21" s="135"/>
      <c r="U21" s="135"/>
      <c r="V21" s="135"/>
      <c r="Y21" s="139"/>
      <c r="Z21" s="139"/>
      <c r="AA21" s="139"/>
      <c r="AB21" s="139"/>
      <c r="AC21" s="140"/>
      <c r="AD21" s="140"/>
      <c r="AE21" s="140"/>
      <c r="AF21" s="140"/>
      <c r="AG21" s="140"/>
      <c r="AH21" s="140"/>
      <c r="AI21" s="140"/>
      <c r="AJ21" s="140"/>
      <c r="AK21" s="140"/>
    </row>
    <row r="22" spans="1:52" s="138" customFormat="1" x14ac:dyDescent="0.25">
      <c r="A22" s="61" t="s">
        <v>116</v>
      </c>
      <c r="B22" s="41">
        <v>2</v>
      </c>
      <c r="C22" s="38">
        <v>1</v>
      </c>
      <c r="D22" s="40" t="s">
        <v>37</v>
      </c>
      <c r="E22" s="49">
        <v>200</v>
      </c>
      <c r="F22" s="125">
        <f t="shared" ref="F22:F23" si="1">C22*E22</f>
        <v>200</v>
      </c>
      <c r="G22" s="125">
        <f t="shared" si="0"/>
        <v>54400</v>
      </c>
      <c r="H22" s="136"/>
      <c r="I22" s="136"/>
      <c r="J22" s="136"/>
      <c r="K22" s="137"/>
      <c r="M22" s="135"/>
      <c r="N22" s="156"/>
      <c r="O22" s="135"/>
      <c r="P22" s="135"/>
      <c r="Q22" s="135"/>
      <c r="R22" s="135"/>
      <c r="S22" s="135"/>
      <c r="T22" s="135"/>
      <c r="U22" s="135"/>
      <c r="V22" s="135"/>
      <c r="Y22" s="139"/>
      <c r="Z22" s="139"/>
      <c r="AA22" s="139"/>
      <c r="AB22" s="139"/>
      <c r="AC22" s="140"/>
      <c r="AD22" s="140"/>
      <c r="AE22" s="140"/>
      <c r="AF22" s="140"/>
      <c r="AG22" s="140"/>
      <c r="AH22" s="140"/>
      <c r="AI22" s="140"/>
      <c r="AJ22" s="140"/>
      <c r="AK22" s="140"/>
    </row>
    <row r="23" spans="1:52" s="138" customFormat="1" x14ac:dyDescent="0.25">
      <c r="A23" s="61" t="s">
        <v>90</v>
      </c>
      <c r="B23" s="41">
        <v>3</v>
      </c>
      <c r="C23" s="37">
        <v>5</v>
      </c>
      <c r="D23" s="40" t="s">
        <v>39</v>
      </c>
      <c r="E23" s="49">
        <v>23.2</v>
      </c>
      <c r="F23" s="125">
        <f t="shared" si="1"/>
        <v>116</v>
      </c>
      <c r="G23" s="125">
        <f t="shared" si="0"/>
        <v>31552</v>
      </c>
      <c r="H23" s="136"/>
      <c r="I23" s="136"/>
      <c r="J23" s="136"/>
      <c r="K23" s="137"/>
      <c r="M23" s="135"/>
      <c r="N23" s="156"/>
      <c r="O23" s="135"/>
      <c r="P23" s="135"/>
      <c r="Q23" s="135"/>
      <c r="R23" s="135"/>
      <c r="S23" s="135"/>
      <c r="T23" s="135"/>
      <c r="U23" s="135"/>
      <c r="V23" s="135"/>
      <c r="Y23" s="139"/>
      <c r="Z23" s="139"/>
      <c r="AA23" s="139"/>
      <c r="AB23" s="139"/>
      <c r="AC23" s="140"/>
      <c r="AD23" s="140"/>
      <c r="AE23" s="140"/>
      <c r="AF23" s="140"/>
      <c r="AG23" s="140"/>
      <c r="AH23" s="140"/>
      <c r="AI23" s="140"/>
      <c r="AJ23" s="140"/>
      <c r="AK23" s="140"/>
      <c r="AZ23" s="135"/>
    </row>
    <row r="24" spans="1:52" s="138" customFormat="1" x14ac:dyDescent="0.25">
      <c r="A24" s="157" t="s">
        <v>76</v>
      </c>
      <c r="B24" s="158"/>
      <c r="C24" s="159"/>
      <c r="D24" s="160"/>
      <c r="E24" s="161"/>
      <c r="F24" s="50">
        <f>SUM(F21:F23)</f>
        <v>17101</v>
      </c>
      <c r="G24" s="50">
        <f>SUM(G21:G23)</f>
        <v>4651472</v>
      </c>
      <c r="H24" s="136"/>
      <c r="I24" s="136"/>
      <c r="J24" s="136"/>
      <c r="K24" s="137"/>
      <c r="M24" s="135"/>
      <c r="N24" s="156"/>
      <c r="O24" s="135"/>
      <c r="P24" s="135"/>
      <c r="Q24" s="135"/>
      <c r="R24" s="135"/>
      <c r="S24" s="135"/>
      <c r="T24" s="135"/>
      <c r="U24" s="135"/>
      <c r="V24" s="135"/>
      <c r="Y24" s="139"/>
      <c r="Z24" s="139"/>
      <c r="AA24" s="139"/>
      <c r="AB24" s="139"/>
      <c r="AC24" s="140"/>
      <c r="AD24" s="140"/>
      <c r="AE24" s="140"/>
      <c r="AF24" s="140"/>
      <c r="AG24" s="140"/>
      <c r="AH24" s="140"/>
      <c r="AI24" s="140"/>
      <c r="AJ24" s="140"/>
      <c r="AK24" s="140"/>
      <c r="AZ24" s="135"/>
    </row>
    <row r="25" spans="1:52" s="138" customFormat="1" x14ac:dyDescent="0.25">
      <c r="A25" s="162"/>
      <c r="B25" s="115"/>
      <c r="C25" s="163"/>
      <c r="D25" s="142"/>
      <c r="E25" s="164"/>
      <c r="F25" s="165"/>
      <c r="G25" s="135"/>
      <c r="H25" s="119"/>
      <c r="I25" s="137"/>
      <c r="J25" s="135"/>
      <c r="K25" s="135"/>
      <c r="L25" s="156"/>
      <c r="M25" s="135"/>
      <c r="N25" s="135"/>
      <c r="O25" s="135"/>
      <c r="P25" s="135"/>
      <c r="Q25" s="135"/>
      <c r="R25" s="135"/>
      <c r="S25" s="135"/>
      <c r="T25" s="135"/>
      <c r="W25" s="139"/>
      <c r="X25" s="139"/>
      <c r="Y25" s="139"/>
      <c r="Z25" s="139"/>
      <c r="AA25" s="140"/>
      <c r="AB25" s="140"/>
      <c r="AC25" s="140"/>
      <c r="AD25" s="140"/>
      <c r="AE25" s="140"/>
      <c r="AF25" s="140"/>
      <c r="AG25" s="140"/>
      <c r="AH25" s="140"/>
      <c r="AI25" s="140"/>
      <c r="AX25" s="135"/>
    </row>
    <row r="26" spans="1:52" s="138" customFormat="1" ht="27.6" x14ac:dyDescent="0.25">
      <c r="A26" s="152" t="s">
        <v>89</v>
      </c>
      <c r="B26" s="153" t="s">
        <v>6</v>
      </c>
      <c r="C26" s="154" t="s">
        <v>114</v>
      </c>
      <c r="D26" s="154" t="s">
        <v>23</v>
      </c>
      <c r="E26" s="154" t="s">
        <v>54</v>
      </c>
      <c r="F26" s="154" t="s">
        <v>115</v>
      </c>
      <c r="G26" s="155" t="s">
        <v>75</v>
      </c>
      <c r="H26" s="119"/>
      <c r="I26" s="137"/>
      <c r="J26" s="135"/>
      <c r="K26" s="135"/>
      <c r="L26" s="156"/>
      <c r="M26" s="135"/>
      <c r="N26" s="135"/>
      <c r="O26" s="135"/>
      <c r="P26" s="135"/>
      <c r="Q26" s="135"/>
      <c r="R26" s="135"/>
      <c r="S26" s="135"/>
      <c r="T26" s="135"/>
      <c r="W26" s="139"/>
      <c r="X26" s="139"/>
      <c r="Y26" s="139"/>
      <c r="Z26" s="139"/>
      <c r="AA26" s="140"/>
      <c r="AB26" s="140"/>
      <c r="AC26" s="140"/>
      <c r="AD26" s="140"/>
      <c r="AE26" s="140"/>
      <c r="AF26" s="140"/>
      <c r="AG26" s="140"/>
      <c r="AH26" s="140"/>
      <c r="AI26" s="140"/>
      <c r="AX26" s="135"/>
    </row>
    <row r="27" spans="1:52" s="138" customFormat="1" x14ac:dyDescent="0.25">
      <c r="A27" s="61" t="s">
        <v>117</v>
      </c>
      <c r="B27" s="41">
        <v>4</v>
      </c>
      <c r="C27" s="39">
        <v>250</v>
      </c>
      <c r="D27" s="36" t="s">
        <v>40</v>
      </c>
      <c r="E27" s="49">
        <v>27</v>
      </c>
      <c r="F27" s="125">
        <f>C27*E27</f>
        <v>6750</v>
      </c>
      <c r="G27" s="125">
        <f t="shared" ref="G27:G39" si="2">F27*$B$8</f>
        <v>1836000</v>
      </c>
      <c r="H27" s="156"/>
      <c r="I27" s="137"/>
      <c r="J27" s="135"/>
      <c r="K27" s="135"/>
      <c r="L27" s="156"/>
      <c r="M27" s="135"/>
      <c r="N27" s="135"/>
      <c r="O27" s="135"/>
      <c r="P27" s="135"/>
      <c r="Q27" s="135"/>
      <c r="R27" s="135"/>
      <c r="S27" s="135"/>
      <c r="T27" s="135"/>
      <c r="W27" s="139"/>
      <c r="X27" s="139"/>
      <c r="Y27" s="139"/>
      <c r="Z27" s="139"/>
      <c r="AA27" s="140"/>
      <c r="AB27" s="140"/>
      <c r="AC27" s="140"/>
      <c r="AD27" s="140"/>
      <c r="AE27" s="140"/>
      <c r="AF27" s="140"/>
      <c r="AG27" s="140"/>
      <c r="AH27" s="140"/>
      <c r="AI27" s="140"/>
    </row>
    <row r="28" spans="1:52" s="138" customFormat="1" x14ac:dyDescent="0.25">
      <c r="A28" s="61" t="s">
        <v>118</v>
      </c>
      <c r="B28" s="41">
        <v>5</v>
      </c>
      <c r="C28" s="39">
        <v>1</v>
      </c>
      <c r="D28" s="36" t="s">
        <v>38</v>
      </c>
      <c r="E28" s="49">
        <v>7</v>
      </c>
      <c r="F28" s="125">
        <f>C28*E28</f>
        <v>7</v>
      </c>
      <c r="G28" s="125">
        <f>F28*$B$8</f>
        <v>1904</v>
      </c>
      <c r="H28" s="156"/>
      <c r="I28" s="137"/>
      <c r="J28" s="135"/>
      <c r="K28" s="135"/>
      <c r="L28" s="156"/>
      <c r="M28" s="135"/>
      <c r="N28" s="135"/>
      <c r="O28" s="135"/>
      <c r="P28" s="135"/>
      <c r="Q28" s="135"/>
      <c r="R28" s="135"/>
      <c r="S28" s="135"/>
      <c r="T28" s="135"/>
      <c r="W28" s="139"/>
      <c r="X28" s="139"/>
      <c r="Y28" s="139"/>
      <c r="Z28" s="139"/>
      <c r="AA28" s="140"/>
      <c r="AB28" s="140"/>
      <c r="AC28" s="140"/>
      <c r="AD28" s="140"/>
      <c r="AE28" s="140"/>
      <c r="AF28" s="140"/>
      <c r="AG28" s="140"/>
      <c r="AH28" s="140"/>
      <c r="AI28" s="140"/>
    </row>
    <row r="29" spans="1:52" s="138" customFormat="1" x14ac:dyDescent="0.25">
      <c r="A29" s="61" t="s">
        <v>91</v>
      </c>
      <c r="B29" s="41">
        <v>6</v>
      </c>
      <c r="C29" s="39">
        <v>2014</v>
      </c>
      <c r="D29" s="36" t="s">
        <v>125</v>
      </c>
      <c r="E29" s="49">
        <v>1.2</v>
      </c>
      <c r="F29" s="125">
        <f t="shared" ref="F29:F39" si="3">C29*E29</f>
        <v>2416.7999999999997</v>
      </c>
      <c r="G29" s="125">
        <f t="shared" si="2"/>
        <v>657369.59999999998</v>
      </c>
      <c r="H29" s="156"/>
      <c r="I29" s="137"/>
      <c r="J29" s="135"/>
      <c r="K29" s="135"/>
      <c r="L29" s="156"/>
      <c r="M29" s="135"/>
      <c r="N29" s="135"/>
      <c r="O29" s="135"/>
      <c r="P29" s="135"/>
      <c r="Q29" s="135"/>
      <c r="R29" s="135"/>
      <c r="S29" s="135"/>
      <c r="T29" s="135"/>
      <c r="W29" s="139"/>
      <c r="X29" s="139"/>
      <c r="Y29" s="139"/>
      <c r="Z29" s="139"/>
      <c r="AA29" s="140"/>
      <c r="AB29" s="140"/>
      <c r="AC29" s="140"/>
      <c r="AD29" s="140"/>
      <c r="AE29" s="140"/>
      <c r="AF29" s="140"/>
      <c r="AG29" s="140"/>
      <c r="AH29" s="140"/>
      <c r="AI29" s="140"/>
    </row>
    <row r="30" spans="1:52" s="138" customFormat="1" x14ac:dyDescent="0.25">
      <c r="A30" s="61" t="s">
        <v>119</v>
      </c>
      <c r="B30" s="41">
        <v>7</v>
      </c>
      <c r="C30" s="39">
        <v>802</v>
      </c>
      <c r="D30" s="36" t="s">
        <v>40</v>
      </c>
      <c r="E30" s="49">
        <v>1.4</v>
      </c>
      <c r="F30" s="125">
        <f>C30*E30</f>
        <v>1122.8</v>
      </c>
      <c r="G30" s="125">
        <f>F30*$B$8</f>
        <v>305401.59999999998</v>
      </c>
      <c r="H30" s="156"/>
      <c r="I30" s="137"/>
      <c r="J30" s="135"/>
      <c r="K30" s="135"/>
      <c r="L30" s="156"/>
      <c r="M30" s="135"/>
      <c r="N30" s="135"/>
      <c r="O30" s="135"/>
      <c r="P30" s="135"/>
      <c r="Q30" s="135"/>
      <c r="R30" s="135"/>
      <c r="S30" s="135"/>
      <c r="T30" s="135"/>
      <c r="W30" s="139"/>
      <c r="X30" s="139"/>
      <c r="Y30" s="139"/>
      <c r="Z30" s="139"/>
      <c r="AA30" s="140"/>
      <c r="AB30" s="140"/>
      <c r="AC30" s="140"/>
      <c r="AD30" s="140"/>
      <c r="AE30" s="140"/>
      <c r="AF30" s="140"/>
      <c r="AG30" s="140"/>
      <c r="AH30" s="140"/>
      <c r="AI30" s="140"/>
    </row>
    <row r="31" spans="1:52" s="138" customFormat="1" x14ac:dyDescent="0.25">
      <c r="A31" s="61" t="s">
        <v>124</v>
      </c>
      <c r="B31" s="41">
        <v>8</v>
      </c>
      <c r="C31" s="39">
        <v>46.4</v>
      </c>
      <c r="D31" s="36" t="s">
        <v>40</v>
      </c>
      <c r="E31" s="49">
        <v>1.96</v>
      </c>
      <c r="F31" s="125">
        <f>C31*E31</f>
        <v>90.944000000000003</v>
      </c>
      <c r="G31" s="125">
        <f>F31*$B$8</f>
        <v>24736.768</v>
      </c>
      <c r="H31" s="156"/>
      <c r="I31" s="137"/>
      <c r="J31" s="135"/>
      <c r="K31" s="135"/>
      <c r="L31" s="156"/>
      <c r="M31" s="135"/>
      <c r="N31" s="135"/>
      <c r="O31" s="135"/>
      <c r="P31" s="135"/>
      <c r="Q31" s="135"/>
      <c r="R31" s="135"/>
      <c r="S31" s="135"/>
      <c r="T31" s="135"/>
      <c r="W31" s="139"/>
      <c r="X31" s="139"/>
      <c r="Y31" s="139"/>
      <c r="Z31" s="139"/>
      <c r="AA31" s="140"/>
      <c r="AB31" s="140"/>
      <c r="AC31" s="140"/>
      <c r="AD31" s="140"/>
      <c r="AE31" s="140"/>
      <c r="AF31" s="140"/>
      <c r="AG31" s="140"/>
      <c r="AH31" s="140"/>
      <c r="AI31" s="140"/>
    </row>
    <row r="32" spans="1:52" s="138" customFormat="1" x14ac:dyDescent="0.25">
      <c r="A32" s="61" t="s">
        <v>100</v>
      </c>
      <c r="B32" s="41">
        <v>9</v>
      </c>
      <c r="C32" s="39">
        <v>25</v>
      </c>
      <c r="D32" s="36" t="s">
        <v>40</v>
      </c>
      <c r="E32" s="49">
        <v>2.86</v>
      </c>
      <c r="F32" s="125">
        <f t="shared" si="3"/>
        <v>71.5</v>
      </c>
      <c r="G32" s="125">
        <f t="shared" si="2"/>
        <v>19448</v>
      </c>
      <c r="H32" s="156"/>
      <c r="I32" s="137"/>
      <c r="J32" s="135"/>
      <c r="K32" s="135"/>
      <c r="L32" s="156"/>
      <c r="M32" s="135"/>
      <c r="N32" s="135"/>
      <c r="O32" s="135"/>
      <c r="P32" s="135"/>
      <c r="Q32" s="135"/>
      <c r="R32" s="135"/>
      <c r="S32" s="135"/>
      <c r="T32" s="135"/>
      <c r="W32" s="139"/>
      <c r="X32" s="139"/>
      <c r="Y32" s="139"/>
      <c r="Z32" s="139"/>
      <c r="AA32" s="140"/>
      <c r="AB32" s="140"/>
      <c r="AC32" s="140"/>
      <c r="AD32" s="140"/>
      <c r="AE32" s="140"/>
      <c r="AF32" s="140"/>
      <c r="AG32" s="140"/>
      <c r="AH32" s="140"/>
      <c r="AI32" s="140"/>
    </row>
    <row r="33" spans="1:35" s="138" customFormat="1" x14ac:dyDescent="0.25">
      <c r="A33" s="61" t="s">
        <v>92</v>
      </c>
      <c r="B33" s="41">
        <v>10</v>
      </c>
      <c r="C33" s="39">
        <v>17.2</v>
      </c>
      <c r="D33" s="36" t="s">
        <v>40</v>
      </c>
      <c r="E33" s="49">
        <v>6.3</v>
      </c>
      <c r="F33" s="125">
        <f t="shared" si="3"/>
        <v>108.36</v>
      </c>
      <c r="G33" s="125">
        <f t="shared" si="2"/>
        <v>29473.919999999998</v>
      </c>
      <c r="H33" s="156"/>
      <c r="I33" s="137"/>
      <c r="J33" s="135"/>
      <c r="K33" s="135"/>
      <c r="L33" s="156"/>
      <c r="M33" s="135"/>
      <c r="N33" s="135"/>
      <c r="O33" s="135"/>
      <c r="P33" s="135"/>
      <c r="Q33" s="135"/>
      <c r="R33" s="135"/>
      <c r="S33" s="135"/>
      <c r="T33" s="135"/>
      <c r="W33" s="139"/>
      <c r="X33" s="139"/>
      <c r="Y33" s="139"/>
      <c r="Z33" s="139"/>
      <c r="AA33" s="140"/>
      <c r="AB33" s="140"/>
      <c r="AC33" s="140"/>
      <c r="AD33" s="140"/>
      <c r="AE33" s="140"/>
      <c r="AF33" s="140"/>
      <c r="AG33" s="140"/>
      <c r="AH33" s="140"/>
      <c r="AI33" s="140"/>
    </row>
    <row r="34" spans="1:35" s="138" customFormat="1" x14ac:dyDescent="0.25">
      <c r="A34" s="61" t="s">
        <v>41</v>
      </c>
      <c r="B34" s="41">
        <v>11</v>
      </c>
      <c r="C34" s="39">
        <v>625</v>
      </c>
      <c r="D34" s="36" t="s">
        <v>40</v>
      </c>
      <c r="E34" s="49">
        <v>0.86</v>
      </c>
      <c r="F34" s="125">
        <f t="shared" si="3"/>
        <v>537.5</v>
      </c>
      <c r="G34" s="125">
        <f t="shared" si="2"/>
        <v>146200</v>
      </c>
      <c r="H34" s="156"/>
      <c r="I34" s="137"/>
      <c r="J34" s="135"/>
      <c r="K34" s="135"/>
      <c r="L34" s="156"/>
      <c r="M34" s="135"/>
      <c r="N34" s="135"/>
      <c r="O34" s="135"/>
      <c r="P34" s="135"/>
      <c r="Q34" s="135"/>
      <c r="R34" s="135"/>
      <c r="S34" s="135"/>
      <c r="T34" s="135"/>
      <c r="W34" s="139"/>
      <c r="X34" s="139"/>
      <c r="Y34" s="139"/>
      <c r="Z34" s="139"/>
      <c r="AA34" s="140"/>
      <c r="AB34" s="140"/>
      <c r="AC34" s="140"/>
      <c r="AD34" s="140"/>
      <c r="AE34" s="140"/>
      <c r="AF34" s="140"/>
      <c r="AG34" s="140"/>
      <c r="AH34" s="140"/>
      <c r="AI34" s="140"/>
    </row>
    <row r="35" spans="1:35" s="138" customFormat="1" x14ac:dyDescent="0.25">
      <c r="A35" s="61" t="s">
        <v>42</v>
      </c>
      <c r="B35" s="41">
        <v>12</v>
      </c>
      <c r="C35" s="39">
        <v>100</v>
      </c>
      <c r="D35" s="36" t="s">
        <v>43</v>
      </c>
      <c r="E35" s="49">
        <v>0.65</v>
      </c>
      <c r="F35" s="125">
        <f t="shared" si="3"/>
        <v>65</v>
      </c>
      <c r="G35" s="125">
        <f t="shared" si="2"/>
        <v>17680</v>
      </c>
      <c r="H35" s="156"/>
      <c r="I35" s="137"/>
      <c r="J35" s="135"/>
      <c r="K35" s="135"/>
      <c r="L35" s="156"/>
      <c r="M35" s="135"/>
      <c r="N35" s="135"/>
      <c r="O35" s="135"/>
      <c r="P35" s="135"/>
      <c r="Q35" s="135"/>
      <c r="R35" s="135"/>
      <c r="S35" s="135"/>
      <c r="T35" s="135"/>
      <c r="W35" s="139"/>
      <c r="X35" s="139"/>
      <c r="Y35" s="139"/>
      <c r="Z35" s="139"/>
      <c r="AA35" s="140"/>
      <c r="AB35" s="140"/>
      <c r="AC35" s="140"/>
      <c r="AD35" s="140"/>
      <c r="AE35" s="140"/>
      <c r="AF35" s="140"/>
      <c r="AG35" s="140"/>
      <c r="AH35" s="140"/>
      <c r="AI35" s="140"/>
    </row>
    <row r="36" spans="1:35" s="138" customFormat="1" x14ac:dyDescent="0.25">
      <c r="A36" s="61" t="s">
        <v>95</v>
      </c>
      <c r="B36" s="41">
        <v>13</v>
      </c>
      <c r="C36" s="39">
        <v>1</v>
      </c>
      <c r="D36" s="36" t="s">
        <v>146</v>
      </c>
      <c r="E36" s="49">
        <v>33</v>
      </c>
      <c r="F36" s="125">
        <f t="shared" si="3"/>
        <v>33</v>
      </c>
      <c r="G36" s="125">
        <f t="shared" si="2"/>
        <v>8976</v>
      </c>
      <c r="H36" s="156"/>
      <c r="I36" s="137"/>
      <c r="J36" s="135"/>
      <c r="K36" s="135"/>
      <c r="L36" s="156"/>
      <c r="M36" s="135"/>
      <c r="N36" s="135"/>
      <c r="O36" s="135"/>
      <c r="P36" s="135"/>
      <c r="Q36" s="135"/>
      <c r="R36" s="135"/>
      <c r="S36" s="135"/>
      <c r="T36" s="135"/>
      <c r="W36" s="139"/>
      <c r="X36" s="139"/>
      <c r="Y36" s="139"/>
      <c r="Z36" s="139"/>
      <c r="AA36" s="140"/>
      <c r="AB36" s="140"/>
      <c r="AC36" s="140"/>
      <c r="AD36" s="140"/>
      <c r="AE36" s="140"/>
      <c r="AF36" s="140"/>
      <c r="AG36" s="140"/>
      <c r="AH36" s="140"/>
      <c r="AI36" s="140"/>
    </row>
    <row r="37" spans="1:35" s="138" customFormat="1" x14ac:dyDescent="0.25">
      <c r="A37" s="61" t="s">
        <v>44</v>
      </c>
      <c r="B37" s="41">
        <v>14</v>
      </c>
      <c r="C37" s="39">
        <v>1</v>
      </c>
      <c r="D37" s="36" t="s">
        <v>146</v>
      </c>
      <c r="E37" s="49">
        <v>6.25</v>
      </c>
      <c r="F37" s="125">
        <f t="shared" si="3"/>
        <v>6.25</v>
      </c>
      <c r="G37" s="125">
        <f t="shared" si="2"/>
        <v>1700</v>
      </c>
      <c r="H37" s="156"/>
      <c r="I37" s="137"/>
      <c r="J37" s="135"/>
      <c r="K37" s="135"/>
      <c r="L37" s="156"/>
      <c r="M37" s="135"/>
      <c r="N37" s="135"/>
      <c r="O37" s="135"/>
      <c r="P37" s="135"/>
      <c r="Q37" s="135"/>
      <c r="R37" s="135"/>
      <c r="S37" s="135"/>
      <c r="T37" s="135"/>
      <c r="W37" s="139"/>
      <c r="X37" s="139"/>
      <c r="Y37" s="139"/>
      <c r="Z37" s="139"/>
      <c r="AA37" s="140"/>
      <c r="AB37" s="140"/>
      <c r="AC37" s="140"/>
      <c r="AD37" s="140"/>
      <c r="AE37" s="140"/>
      <c r="AF37" s="140"/>
      <c r="AG37" s="140"/>
      <c r="AH37" s="140"/>
      <c r="AI37" s="140"/>
    </row>
    <row r="38" spans="1:35" s="138" customFormat="1" ht="27.6" x14ac:dyDescent="0.25">
      <c r="A38" s="61" t="s">
        <v>74</v>
      </c>
      <c r="B38" s="41">
        <v>15</v>
      </c>
      <c r="C38" s="39">
        <v>1</v>
      </c>
      <c r="D38" s="36" t="s">
        <v>146</v>
      </c>
      <c r="E38" s="49">
        <v>35.659999999999997</v>
      </c>
      <c r="F38" s="125">
        <f t="shared" si="3"/>
        <v>35.659999999999997</v>
      </c>
      <c r="G38" s="125">
        <f t="shared" si="2"/>
        <v>9699.5199999999986</v>
      </c>
      <c r="H38" s="156"/>
      <c r="I38" s="137"/>
      <c r="J38" s="135"/>
      <c r="K38" s="135"/>
      <c r="L38" s="156"/>
      <c r="M38" s="135"/>
      <c r="N38" s="135"/>
      <c r="O38" s="135"/>
      <c r="P38" s="135"/>
      <c r="Q38" s="135"/>
      <c r="R38" s="135"/>
      <c r="S38" s="135"/>
      <c r="T38" s="135"/>
      <c r="W38" s="139"/>
      <c r="X38" s="139"/>
      <c r="Y38" s="139"/>
      <c r="Z38" s="139"/>
      <c r="AA38" s="140"/>
      <c r="AB38" s="140"/>
      <c r="AC38" s="140"/>
      <c r="AD38" s="140"/>
      <c r="AE38" s="140"/>
      <c r="AF38" s="140"/>
      <c r="AG38" s="140"/>
      <c r="AH38" s="140"/>
      <c r="AI38" s="140"/>
    </row>
    <row r="39" spans="1:35" s="138" customFormat="1" x14ac:dyDescent="0.25">
      <c r="A39" s="61" t="s">
        <v>147</v>
      </c>
      <c r="B39" s="41">
        <v>16</v>
      </c>
      <c r="C39" s="37">
        <v>1.8772899999999999</v>
      </c>
      <c r="D39" s="36" t="s">
        <v>49</v>
      </c>
      <c r="E39" s="49">
        <v>92.86</v>
      </c>
      <c r="F39" s="125">
        <f t="shared" si="3"/>
        <v>174.32514939999999</v>
      </c>
      <c r="G39" s="125">
        <f t="shared" si="2"/>
        <v>47416.440636799998</v>
      </c>
      <c r="H39" s="156"/>
      <c r="I39" s="137"/>
      <c r="J39" s="135"/>
      <c r="K39" s="135"/>
      <c r="L39" s="156"/>
      <c r="M39" s="135"/>
      <c r="N39" s="135"/>
      <c r="O39" s="135"/>
      <c r="P39" s="135"/>
      <c r="Q39" s="135"/>
      <c r="R39" s="135"/>
      <c r="S39" s="135"/>
      <c r="T39" s="135"/>
      <c r="W39" s="139"/>
      <c r="X39" s="139"/>
      <c r="Y39" s="139"/>
      <c r="Z39" s="139"/>
      <c r="AA39" s="140"/>
      <c r="AB39" s="140"/>
      <c r="AC39" s="140"/>
      <c r="AD39" s="140"/>
      <c r="AE39" s="140"/>
      <c r="AF39" s="140"/>
      <c r="AG39" s="140"/>
      <c r="AH39" s="140"/>
      <c r="AI39" s="140"/>
    </row>
    <row r="40" spans="1:35" s="138" customFormat="1" x14ac:dyDescent="0.25">
      <c r="A40" s="166"/>
      <c r="B40" s="167" t="s">
        <v>45</v>
      </c>
      <c r="C40" s="168"/>
      <c r="D40" s="167"/>
      <c r="E40" s="169"/>
      <c r="F40" s="50">
        <f>SUM(F27:F39)</f>
        <v>11419.139149399998</v>
      </c>
      <c r="G40" s="126">
        <f>F40*$B$8</f>
        <v>3106005.8486367995</v>
      </c>
      <c r="H40" s="156"/>
      <c r="I40" s="137"/>
      <c r="J40" s="135"/>
      <c r="K40" s="135"/>
      <c r="L40" s="156"/>
      <c r="M40" s="135"/>
      <c r="N40" s="135"/>
      <c r="O40" s="135"/>
      <c r="P40" s="135"/>
      <c r="Q40" s="135"/>
      <c r="R40" s="135"/>
      <c r="S40" s="135"/>
      <c r="T40" s="135"/>
      <c r="W40" s="139"/>
      <c r="X40" s="139"/>
      <c r="Y40" s="139"/>
      <c r="Z40" s="139"/>
      <c r="AA40" s="140"/>
      <c r="AB40" s="140"/>
      <c r="AC40" s="140"/>
      <c r="AD40" s="140"/>
      <c r="AE40" s="140"/>
      <c r="AF40" s="140"/>
      <c r="AG40" s="140"/>
      <c r="AH40" s="140"/>
      <c r="AI40" s="140"/>
    </row>
    <row r="41" spans="1:35" s="138" customFormat="1" x14ac:dyDescent="0.25">
      <c r="A41" s="118" t="s">
        <v>87</v>
      </c>
      <c r="B41" s="115"/>
      <c r="C41" s="38">
        <v>0.25</v>
      </c>
      <c r="D41" s="116" t="s">
        <v>53</v>
      </c>
      <c r="E41" s="130">
        <f>IF(Investeringskalkyl!C13="slaktungnöt",Investeringskalkyl!F72)</f>
        <v>26610.486029411764</v>
      </c>
      <c r="F41" s="125">
        <f>C41/100*E41</f>
        <v>66.526215073529414</v>
      </c>
      <c r="G41" s="125">
        <f>F41*$B$8</f>
        <v>18095.130499999999</v>
      </c>
      <c r="H41" s="156"/>
      <c r="I41" s="137"/>
      <c r="J41" s="135"/>
      <c r="K41" s="135"/>
      <c r="L41" s="156"/>
      <c r="M41" s="135"/>
      <c r="N41" s="135"/>
      <c r="O41" s="135"/>
      <c r="P41" s="135"/>
      <c r="Q41" s="135"/>
      <c r="R41" s="135"/>
      <c r="S41" s="135"/>
      <c r="T41" s="135"/>
      <c r="W41" s="139"/>
      <c r="X41" s="139"/>
      <c r="Y41" s="139"/>
      <c r="Z41" s="139"/>
      <c r="AA41" s="140"/>
      <c r="AB41" s="140"/>
      <c r="AC41" s="140"/>
      <c r="AD41" s="140"/>
      <c r="AE41" s="140"/>
      <c r="AF41" s="140"/>
      <c r="AG41" s="140"/>
      <c r="AH41" s="140"/>
      <c r="AI41" s="140"/>
    </row>
    <row r="42" spans="1:35" s="138" customFormat="1" x14ac:dyDescent="0.25">
      <c r="A42" s="118" t="s">
        <v>46</v>
      </c>
      <c r="B42" s="170" t="s">
        <v>60</v>
      </c>
      <c r="C42" s="129">
        <f>($E$27+$E$28)</f>
        <v>34</v>
      </c>
      <c r="D42" s="116" t="s">
        <v>37</v>
      </c>
      <c r="E42" s="128">
        <f>Investeringskalkyl!$B$22</f>
        <v>0.05</v>
      </c>
      <c r="F42" s="125">
        <f>C42*E42</f>
        <v>1.7000000000000002</v>
      </c>
      <c r="G42" s="125">
        <f>F42*$B$8</f>
        <v>462.40000000000003</v>
      </c>
      <c r="H42" s="156"/>
      <c r="I42" s="137"/>
      <c r="J42" s="135"/>
      <c r="K42" s="135"/>
      <c r="L42" s="156"/>
      <c r="M42" s="135"/>
      <c r="N42" s="135"/>
      <c r="O42" s="135"/>
      <c r="P42" s="135"/>
      <c r="Q42" s="135"/>
      <c r="R42" s="135"/>
      <c r="S42" s="135"/>
      <c r="T42" s="135"/>
      <c r="W42" s="139"/>
      <c r="X42" s="139"/>
      <c r="Y42" s="139"/>
      <c r="Z42" s="139"/>
      <c r="AA42" s="140"/>
      <c r="AB42" s="140"/>
      <c r="AC42" s="140"/>
      <c r="AD42" s="140"/>
      <c r="AE42" s="140"/>
      <c r="AF42" s="140"/>
      <c r="AG42" s="140"/>
      <c r="AH42" s="140"/>
      <c r="AI42" s="140"/>
    </row>
    <row r="43" spans="1:35" s="138" customFormat="1" x14ac:dyDescent="0.25">
      <c r="A43" s="118" t="s">
        <v>97</v>
      </c>
      <c r="B43" s="170" t="s">
        <v>60</v>
      </c>
      <c r="C43" s="129">
        <f>(($F$40-$F$27-$F$28)+SUM(F46:F49))/2</f>
        <v>3123.2295011705874</v>
      </c>
      <c r="D43" s="116" t="s">
        <v>37</v>
      </c>
      <c r="E43" s="128">
        <f>Investeringskalkyl!$B$22</f>
        <v>0.05</v>
      </c>
      <c r="F43" s="125">
        <f>C43*E43</f>
        <v>156.16147505852939</v>
      </c>
      <c r="G43" s="125">
        <f>F43*$B$8</f>
        <v>42475.921215919996</v>
      </c>
      <c r="H43" s="156"/>
      <c r="I43" s="137"/>
      <c r="J43" s="135"/>
      <c r="K43" s="135"/>
      <c r="L43" s="156"/>
      <c r="M43" s="135"/>
      <c r="N43" s="135"/>
      <c r="O43" s="135"/>
      <c r="P43" s="135"/>
      <c r="Q43" s="135"/>
      <c r="R43" s="135"/>
      <c r="S43" s="135"/>
      <c r="T43" s="135"/>
      <c r="W43" s="139"/>
      <c r="X43" s="139"/>
      <c r="Y43" s="139"/>
      <c r="Z43" s="139"/>
      <c r="AA43" s="140"/>
      <c r="AB43" s="140"/>
      <c r="AC43" s="140"/>
      <c r="AD43" s="140"/>
      <c r="AE43" s="140"/>
      <c r="AF43" s="140"/>
      <c r="AG43" s="140"/>
      <c r="AH43" s="140"/>
      <c r="AI43" s="140"/>
    </row>
    <row r="44" spans="1:35" s="138" customFormat="1" x14ac:dyDescent="0.25">
      <c r="A44" s="171"/>
      <c r="B44" s="167" t="s">
        <v>47</v>
      </c>
      <c r="C44" s="172" t="s">
        <v>36</v>
      </c>
      <c r="D44" s="167"/>
      <c r="E44" s="169" t="s">
        <v>36</v>
      </c>
      <c r="F44" s="50">
        <f>SUM(F41:F43)</f>
        <v>224.38769013205882</v>
      </c>
      <c r="G44" s="126">
        <f>F44*$B$4</f>
        <v>61033.451715919997</v>
      </c>
      <c r="H44" s="156"/>
      <c r="I44" s="137"/>
      <c r="J44" s="135"/>
      <c r="K44" s="135"/>
      <c r="L44" s="156"/>
      <c r="M44" s="135"/>
      <c r="N44" s="135"/>
      <c r="O44" s="135"/>
      <c r="P44" s="135"/>
      <c r="Q44" s="135"/>
      <c r="R44" s="135"/>
      <c r="S44" s="135"/>
      <c r="T44" s="135"/>
      <c r="W44" s="139"/>
      <c r="X44" s="139"/>
      <c r="Y44" s="139"/>
      <c r="Z44" s="139"/>
      <c r="AA44" s="140"/>
      <c r="AB44" s="140"/>
      <c r="AC44" s="140"/>
      <c r="AD44" s="140"/>
      <c r="AE44" s="140"/>
      <c r="AF44" s="140"/>
      <c r="AG44" s="140"/>
      <c r="AH44" s="140"/>
      <c r="AI44" s="140"/>
    </row>
    <row r="45" spans="1:35" s="138" customFormat="1" x14ac:dyDescent="0.25">
      <c r="A45" s="118" t="s">
        <v>48</v>
      </c>
      <c r="B45" s="170" t="s">
        <v>60</v>
      </c>
      <c r="C45" s="39">
        <f>IF(Investeringskalkyl!$C$13="slaktungnöt",1,0)</f>
        <v>1</v>
      </c>
      <c r="D45" s="117" t="s">
        <v>37</v>
      </c>
      <c r="E45" s="130">
        <f>Investeringskalkyl!$F$73*(Investeringskalkyl!$B$22/(1-(1+Investeringskalkyl!$B$22)^(-Investeringskalkyl!$B$25)))</f>
        <v>2138.6755943089365</v>
      </c>
      <c r="F45" s="125">
        <f t="shared" ref="F45:F48" si="4">C45*E45</f>
        <v>2138.6755943089365</v>
      </c>
      <c r="G45" s="125">
        <f t="shared" ref="G45:G49" si="5">F45*$B$8</f>
        <v>581719.76165203075</v>
      </c>
      <c r="H45" s="156"/>
      <c r="I45" s="137"/>
      <c r="J45" s="135"/>
      <c r="K45" s="135"/>
      <c r="L45" s="156"/>
      <c r="M45" s="135"/>
      <c r="N45" s="135"/>
      <c r="O45" s="135"/>
      <c r="P45" s="135"/>
      <c r="Q45" s="135"/>
      <c r="R45" s="135"/>
      <c r="S45" s="135"/>
      <c r="T45" s="135"/>
      <c r="W45" s="139"/>
      <c r="X45" s="139"/>
      <c r="Y45" s="139"/>
      <c r="Z45" s="139"/>
      <c r="AA45" s="140"/>
      <c r="AB45" s="140"/>
      <c r="AC45" s="140"/>
      <c r="AD45" s="140"/>
      <c r="AE45" s="140"/>
      <c r="AF45" s="140"/>
      <c r="AG45" s="140"/>
      <c r="AH45" s="140"/>
      <c r="AI45" s="140"/>
    </row>
    <row r="46" spans="1:35" s="138" customFormat="1" x14ac:dyDescent="0.25">
      <c r="A46" s="61" t="s">
        <v>56</v>
      </c>
      <c r="B46" s="41">
        <v>17</v>
      </c>
      <c r="C46" s="39">
        <v>1</v>
      </c>
      <c r="D46" s="36" t="s">
        <v>36</v>
      </c>
      <c r="E46" s="47">
        <f>6564/272</f>
        <v>24.132352941176471</v>
      </c>
      <c r="F46" s="125">
        <f t="shared" si="4"/>
        <v>24.132352941176471</v>
      </c>
      <c r="G46" s="125">
        <f t="shared" si="5"/>
        <v>6564</v>
      </c>
      <c r="H46" s="156"/>
      <c r="I46" s="137"/>
      <c r="J46" s="135"/>
      <c r="K46" s="135"/>
      <c r="L46" s="156"/>
      <c r="M46" s="135"/>
      <c r="N46" s="135"/>
      <c r="O46" s="135"/>
      <c r="P46" s="135"/>
      <c r="Q46" s="135"/>
      <c r="R46" s="135"/>
      <c r="S46" s="135"/>
      <c r="T46" s="135"/>
      <c r="W46" s="139"/>
      <c r="X46" s="139"/>
      <c r="Y46" s="139"/>
      <c r="Z46" s="139"/>
      <c r="AA46" s="140"/>
      <c r="AB46" s="140"/>
      <c r="AC46" s="140"/>
      <c r="AD46" s="140"/>
      <c r="AE46" s="140"/>
      <c r="AF46" s="140"/>
      <c r="AG46" s="140"/>
      <c r="AH46" s="140"/>
      <c r="AI46" s="140"/>
    </row>
    <row r="47" spans="1:35" s="138" customFormat="1" x14ac:dyDescent="0.25">
      <c r="A47" s="61" t="s">
        <v>57</v>
      </c>
      <c r="B47" s="41">
        <v>18</v>
      </c>
      <c r="C47" s="39">
        <v>1</v>
      </c>
      <c r="D47" s="36"/>
      <c r="E47" s="48">
        <f>22627/272</f>
        <v>83.1875</v>
      </c>
      <c r="F47" s="125">
        <f t="shared" si="4"/>
        <v>83.1875</v>
      </c>
      <c r="G47" s="125">
        <f t="shared" si="5"/>
        <v>22627</v>
      </c>
      <c r="H47" s="135"/>
      <c r="I47" s="137"/>
      <c r="J47" s="137"/>
      <c r="K47" s="135"/>
      <c r="L47" s="156"/>
      <c r="M47" s="135"/>
      <c r="N47" s="135"/>
      <c r="O47" s="135"/>
      <c r="P47" s="135"/>
      <c r="Q47" s="135"/>
      <c r="R47" s="135"/>
      <c r="S47" s="135"/>
      <c r="T47" s="135"/>
      <c r="W47" s="139"/>
      <c r="X47" s="139"/>
      <c r="Y47" s="139"/>
      <c r="Z47" s="139"/>
      <c r="AA47" s="140"/>
      <c r="AB47" s="140"/>
      <c r="AC47" s="140"/>
      <c r="AD47" s="140"/>
      <c r="AE47" s="140"/>
      <c r="AF47" s="140"/>
      <c r="AG47" s="140"/>
      <c r="AH47" s="140"/>
      <c r="AI47" s="140"/>
    </row>
    <row r="48" spans="1:35" s="138" customFormat="1" x14ac:dyDescent="0.25">
      <c r="A48" s="61" t="s">
        <v>52</v>
      </c>
      <c r="B48" s="41">
        <v>19</v>
      </c>
      <c r="C48" s="39">
        <v>4</v>
      </c>
      <c r="D48" s="36" t="s">
        <v>49</v>
      </c>
      <c r="E48" s="49">
        <v>350</v>
      </c>
      <c r="F48" s="125">
        <f t="shared" si="4"/>
        <v>1400</v>
      </c>
      <c r="G48" s="125">
        <f t="shared" si="5"/>
        <v>380800</v>
      </c>
      <c r="H48" s="156"/>
      <c r="I48" s="137"/>
      <c r="J48" s="135"/>
      <c r="K48" s="135"/>
      <c r="L48" s="156"/>
      <c r="M48" s="135"/>
      <c r="N48" s="135"/>
      <c r="O48" s="135"/>
      <c r="P48" s="135"/>
      <c r="Q48" s="135"/>
      <c r="R48" s="135"/>
      <c r="S48" s="135"/>
      <c r="T48" s="135"/>
      <c r="W48" s="139"/>
      <c r="X48" s="139"/>
      <c r="Y48" s="139"/>
      <c r="Z48" s="139"/>
      <c r="AA48" s="140"/>
      <c r="AB48" s="140"/>
      <c r="AC48" s="140"/>
      <c r="AD48" s="140"/>
      <c r="AE48" s="140"/>
      <c r="AF48" s="140"/>
      <c r="AG48" s="140"/>
      <c r="AH48" s="140"/>
      <c r="AI48" s="140"/>
    </row>
    <row r="49" spans="1:37" s="138" customFormat="1" x14ac:dyDescent="0.25">
      <c r="A49" s="61" t="s">
        <v>93</v>
      </c>
      <c r="B49" s="41">
        <v>20</v>
      </c>
      <c r="C49" s="37">
        <v>0.22</v>
      </c>
      <c r="D49" s="36" t="s">
        <v>49</v>
      </c>
      <c r="E49" s="49">
        <v>350</v>
      </c>
      <c r="F49" s="125">
        <f>C49*E49</f>
        <v>77</v>
      </c>
      <c r="G49" s="125">
        <f t="shared" si="5"/>
        <v>20944</v>
      </c>
      <c r="H49" s="156"/>
      <c r="I49" s="137"/>
      <c r="J49" s="135"/>
      <c r="K49" s="135"/>
      <c r="L49" s="156"/>
      <c r="M49" s="135"/>
      <c r="N49" s="135"/>
      <c r="O49" s="135"/>
      <c r="P49" s="135"/>
      <c r="Q49" s="135"/>
      <c r="R49" s="135"/>
      <c r="S49" s="135"/>
      <c r="T49" s="135"/>
      <c r="W49" s="139"/>
      <c r="X49" s="139"/>
      <c r="Y49" s="139"/>
      <c r="Z49" s="139"/>
      <c r="AA49" s="140"/>
      <c r="AB49" s="140"/>
      <c r="AC49" s="140"/>
      <c r="AD49" s="140"/>
      <c r="AE49" s="140"/>
      <c r="AF49" s="140"/>
      <c r="AG49" s="140"/>
      <c r="AH49" s="140"/>
      <c r="AI49" s="140"/>
    </row>
    <row r="50" spans="1:37" s="138" customFormat="1" x14ac:dyDescent="0.25">
      <c r="A50" s="173"/>
      <c r="B50" s="167" t="s">
        <v>50</v>
      </c>
      <c r="C50" s="168"/>
      <c r="D50" s="167"/>
      <c r="E50" s="174"/>
      <c r="F50" s="50">
        <f>SUM(F45:F49)</f>
        <v>3722.9954472501131</v>
      </c>
      <c r="G50" s="126">
        <f>F50*$B$8</f>
        <v>1012654.7616520307</v>
      </c>
      <c r="H50" s="135"/>
      <c r="I50" s="137"/>
      <c r="J50" s="137"/>
      <c r="K50" s="135"/>
      <c r="L50" s="156"/>
      <c r="M50" s="135"/>
      <c r="N50" s="135"/>
      <c r="O50" s="135"/>
      <c r="P50" s="135"/>
      <c r="Q50" s="135"/>
      <c r="R50" s="135"/>
      <c r="S50" s="135"/>
      <c r="T50" s="135"/>
      <c r="W50" s="139"/>
      <c r="X50" s="139"/>
      <c r="Y50" s="139"/>
      <c r="Z50" s="139"/>
      <c r="AA50" s="140"/>
      <c r="AB50" s="140"/>
      <c r="AC50" s="140"/>
      <c r="AD50" s="140"/>
      <c r="AE50" s="140"/>
      <c r="AF50" s="140"/>
      <c r="AG50" s="140"/>
      <c r="AH50" s="140"/>
      <c r="AI50" s="140"/>
    </row>
    <row r="51" spans="1:37" s="138" customFormat="1" x14ac:dyDescent="0.25">
      <c r="A51" s="166" t="s">
        <v>61</v>
      </c>
      <c r="B51" s="167"/>
      <c r="C51" s="168"/>
      <c r="D51" s="167"/>
      <c r="E51" s="174"/>
      <c r="F51" s="50">
        <f>$F$40+$F$44+$F$50</f>
        <v>15366.522286782169</v>
      </c>
      <c r="G51" s="126">
        <f>F51*$B$8</f>
        <v>4179694.0620047497</v>
      </c>
      <c r="H51" s="135"/>
      <c r="I51" s="137"/>
      <c r="J51" s="137"/>
      <c r="K51" s="135"/>
      <c r="L51" s="156"/>
      <c r="M51" s="135"/>
      <c r="N51" s="135"/>
      <c r="O51" s="135"/>
      <c r="P51" s="135"/>
      <c r="Q51" s="135"/>
      <c r="R51" s="135"/>
      <c r="S51" s="135"/>
      <c r="T51" s="135"/>
      <c r="W51" s="139"/>
      <c r="X51" s="139"/>
      <c r="Y51" s="139"/>
      <c r="Z51" s="139"/>
      <c r="AA51" s="140"/>
      <c r="AB51" s="140"/>
      <c r="AC51" s="140"/>
      <c r="AD51" s="140"/>
      <c r="AE51" s="140"/>
      <c r="AF51" s="140"/>
      <c r="AG51" s="140"/>
      <c r="AH51" s="140"/>
      <c r="AI51" s="140"/>
    </row>
    <row r="52" spans="1:37" s="138" customFormat="1" x14ac:dyDescent="0.25">
      <c r="A52" s="118"/>
      <c r="B52" s="135"/>
      <c r="C52" s="135"/>
      <c r="D52" s="135"/>
      <c r="E52" s="135"/>
      <c r="F52" s="127"/>
      <c r="G52" s="188"/>
      <c r="H52" s="135"/>
      <c r="I52" s="137"/>
      <c r="J52" s="137"/>
      <c r="K52" s="135"/>
      <c r="L52" s="156"/>
      <c r="M52" s="135"/>
      <c r="N52" s="135"/>
      <c r="O52" s="135"/>
      <c r="P52" s="135"/>
      <c r="Q52" s="135"/>
      <c r="R52" s="135"/>
      <c r="S52" s="135"/>
      <c r="T52" s="135"/>
      <c r="W52" s="139"/>
      <c r="X52" s="139"/>
      <c r="Y52" s="139"/>
      <c r="Z52" s="139"/>
      <c r="AA52" s="140"/>
      <c r="AB52" s="140"/>
      <c r="AC52" s="140"/>
      <c r="AD52" s="140"/>
      <c r="AE52" s="140"/>
      <c r="AF52" s="140"/>
      <c r="AG52" s="140"/>
      <c r="AH52" s="140"/>
      <c r="AI52" s="140"/>
    </row>
    <row r="53" spans="1:37" s="138" customFormat="1" x14ac:dyDescent="0.25">
      <c r="A53" s="175"/>
      <c r="C53" s="135"/>
      <c r="D53" s="135"/>
      <c r="E53" s="176"/>
      <c r="F53" s="119"/>
      <c r="G53" s="135"/>
      <c r="H53" s="177"/>
      <c r="I53" s="177"/>
      <c r="J53" s="135"/>
      <c r="K53" s="137"/>
      <c r="L53" s="137"/>
      <c r="M53" s="137"/>
      <c r="N53" s="156"/>
      <c r="O53" s="135"/>
      <c r="P53" s="135"/>
      <c r="Q53" s="135"/>
      <c r="R53" s="135"/>
      <c r="S53" s="135"/>
      <c r="T53" s="135"/>
      <c r="U53" s="135"/>
      <c r="V53" s="135"/>
      <c r="Y53" s="139"/>
      <c r="Z53" s="139"/>
      <c r="AA53" s="139"/>
      <c r="AB53" s="139"/>
      <c r="AC53" s="140"/>
      <c r="AD53" s="140"/>
      <c r="AE53" s="140"/>
      <c r="AF53" s="140"/>
      <c r="AG53" s="140"/>
      <c r="AH53" s="140"/>
      <c r="AI53" s="140"/>
      <c r="AJ53" s="140"/>
      <c r="AK53" s="140"/>
    </row>
    <row r="54" spans="1:37" s="138" customFormat="1" x14ac:dyDescent="0.25">
      <c r="A54" s="175"/>
      <c r="C54" s="135"/>
      <c r="D54" s="135"/>
      <c r="E54" s="176"/>
      <c r="G54" s="137"/>
      <c r="H54" s="178"/>
      <c r="I54" s="177"/>
      <c r="J54" s="135"/>
      <c r="K54" s="137"/>
      <c r="L54" s="137"/>
      <c r="M54" s="137"/>
      <c r="N54" s="156"/>
      <c r="O54" s="135"/>
      <c r="P54" s="135"/>
      <c r="Q54" s="135"/>
      <c r="R54" s="135"/>
      <c r="S54" s="135"/>
      <c r="T54" s="135"/>
      <c r="U54" s="135"/>
      <c r="V54" s="135"/>
      <c r="Y54" s="139"/>
      <c r="Z54" s="139"/>
      <c r="AA54" s="139"/>
      <c r="AB54" s="139"/>
      <c r="AC54" s="140"/>
      <c r="AD54" s="140"/>
      <c r="AE54" s="140"/>
      <c r="AF54" s="140"/>
      <c r="AG54" s="140"/>
      <c r="AH54" s="140"/>
      <c r="AI54" s="140"/>
      <c r="AJ54" s="140"/>
      <c r="AK54" s="140"/>
    </row>
    <row r="55" spans="1:37" s="138" customFormat="1" x14ac:dyDescent="0.25">
      <c r="A55" s="175"/>
      <c r="C55" s="135"/>
      <c r="D55" s="135"/>
      <c r="E55" s="176"/>
      <c r="G55" s="137"/>
      <c r="H55" s="178"/>
      <c r="I55" s="177"/>
      <c r="J55" s="135"/>
      <c r="K55" s="137"/>
      <c r="L55" s="137"/>
      <c r="M55" s="137"/>
      <c r="N55" s="156"/>
      <c r="O55" s="135"/>
      <c r="P55" s="135"/>
      <c r="Q55" s="135"/>
      <c r="R55" s="135"/>
      <c r="S55" s="135"/>
      <c r="T55" s="135"/>
      <c r="U55" s="135"/>
      <c r="V55" s="135"/>
      <c r="Y55" s="139"/>
      <c r="Z55" s="139"/>
      <c r="AA55" s="139"/>
      <c r="AB55" s="139"/>
      <c r="AC55" s="140"/>
      <c r="AD55" s="140"/>
      <c r="AE55" s="140"/>
      <c r="AF55" s="140"/>
      <c r="AG55" s="140"/>
      <c r="AH55" s="140"/>
      <c r="AI55" s="140"/>
      <c r="AJ55" s="140"/>
      <c r="AK55" s="140"/>
    </row>
    <row r="56" spans="1:37" s="138" customFormat="1" x14ac:dyDescent="0.25">
      <c r="A56" s="175"/>
      <c r="C56" s="135"/>
      <c r="D56" s="135"/>
      <c r="E56" s="176"/>
      <c r="G56" s="137"/>
      <c r="H56" s="177"/>
      <c r="I56" s="177"/>
      <c r="J56" s="135"/>
      <c r="K56" s="137"/>
      <c r="L56" s="137"/>
      <c r="M56" s="137"/>
      <c r="N56" s="156"/>
      <c r="O56" s="135"/>
      <c r="P56" s="135"/>
      <c r="Q56" s="135"/>
      <c r="R56" s="135"/>
      <c r="S56" s="135"/>
      <c r="T56" s="135"/>
      <c r="U56" s="135"/>
      <c r="V56" s="135"/>
      <c r="Y56" s="139"/>
      <c r="Z56" s="139"/>
      <c r="AA56" s="139"/>
      <c r="AB56" s="139"/>
      <c r="AC56" s="140"/>
      <c r="AD56" s="140"/>
      <c r="AE56" s="140"/>
      <c r="AF56" s="140"/>
      <c r="AG56" s="140"/>
      <c r="AH56" s="140"/>
      <c r="AI56" s="140"/>
      <c r="AJ56" s="140"/>
      <c r="AK56" s="140"/>
    </row>
    <row r="57" spans="1:37" s="138" customFormat="1" x14ac:dyDescent="0.25">
      <c r="A57" s="175"/>
      <c r="C57" s="135"/>
      <c r="D57" s="135"/>
      <c r="E57" s="176"/>
      <c r="G57" s="137"/>
      <c r="H57" s="177"/>
      <c r="I57" s="177"/>
      <c r="J57" s="135"/>
      <c r="K57" s="137"/>
      <c r="L57" s="137"/>
      <c r="M57" s="137"/>
      <c r="N57" s="156"/>
      <c r="O57" s="135"/>
      <c r="P57" s="135"/>
      <c r="Q57" s="135"/>
      <c r="R57" s="135"/>
      <c r="S57" s="135"/>
      <c r="T57" s="135"/>
      <c r="U57" s="135"/>
      <c r="V57" s="135"/>
      <c r="Y57" s="139"/>
      <c r="Z57" s="139"/>
      <c r="AA57" s="139"/>
      <c r="AB57" s="139"/>
      <c r="AC57" s="140"/>
      <c r="AD57" s="140"/>
      <c r="AE57" s="140"/>
      <c r="AF57" s="140"/>
      <c r="AG57" s="140"/>
      <c r="AH57" s="140"/>
      <c r="AI57" s="140"/>
      <c r="AJ57" s="140"/>
      <c r="AK57" s="140"/>
    </row>
    <row r="58" spans="1:37" s="138" customFormat="1" x14ac:dyDescent="0.25">
      <c r="A58" s="175"/>
      <c r="C58" s="135"/>
      <c r="D58" s="135"/>
      <c r="E58" s="176"/>
      <c r="G58" s="135"/>
      <c r="H58" s="137"/>
      <c r="I58" s="137"/>
      <c r="J58" s="156"/>
      <c r="K58" s="135"/>
      <c r="L58" s="135"/>
      <c r="M58" s="135"/>
      <c r="N58" s="135"/>
      <c r="O58" s="135"/>
      <c r="P58" s="135"/>
      <c r="Q58" s="135"/>
      <c r="R58" s="135"/>
      <c r="U58" s="139"/>
      <c r="V58" s="139"/>
      <c r="W58" s="139"/>
      <c r="X58" s="139"/>
      <c r="Y58" s="140"/>
      <c r="Z58" s="140"/>
      <c r="AA58" s="140"/>
      <c r="AB58" s="140"/>
      <c r="AC58" s="140"/>
      <c r="AD58" s="140"/>
      <c r="AE58" s="140"/>
      <c r="AF58" s="140"/>
      <c r="AG58" s="140"/>
    </row>
    <row r="59" spans="1:37" s="138" customFormat="1" x14ac:dyDescent="0.25">
      <c r="A59" s="175"/>
      <c r="C59" s="135"/>
      <c r="D59" s="135"/>
      <c r="E59" s="176"/>
      <c r="G59" s="135"/>
      <c r="H59" s="137"/>
      <c r="I59" s="137"/>
      <c r="J59" s="156"/>
      <c r="K59" s="135"/>
      <c r="L59" s="135"/>
      <c r="M59" s="135"/>
      <c r="N59" s="135"/>
      <c r="O59" s="135"/>
      <c r="P59" s="135"/>
      <c r="Q59" s="135"/>
      <c r="R59" s="135"/>
      <c r="U59" s="139"/>
      <c r="V59" s="139"/>
      <c r="W59" s="139"/>
      <c r="X59" s="139"/>
      <c r="Y59" s="140"/>
      <c r="Z59" s="140"/>
      <c r="AA59" s="140"/>
      <c r="AB59" s="140"/>
      <c r="AC59" s="140"/>
      <c r="AD59" s="140"/>
      <c r="AE59" s="140"/>
      <c r="AF59" s="140"/>
      <c r="AG59" s="140"/>
    </row>
    <row r="60" spans="1:37" s="138" customFormat="1" x14ac:dyDescent="0.25">
      <c r="C60" s="135"/>
      <c r="D60" s="135"/>
      <c r="E60" s="176"/>
      <c r="G60" s="135"/>
      <c r="H60" s="137"/>
      <c r="I60" s="137"/>
      <c r="J60" s="156"/>
      <c r="K60" s="135"/>
      <c r="L60" s="135"/>
      <c r="M60" s="135"/>
      <c r="N60" s="135"/>
      <c r="O60" s="135"/>
      <c r="P60" s="135"/>
      <c r="Q60" s="135"/>
      <c r="R60" s="135"/>
      <c r="U60" s="139"/>
      <c r="V60" s="139"/>
      <c r="W60" s="139"/>
      <c r="X60" s="139"/>
      <c r="Y60" s="140"/>
      <c r="Z60" s="140"/>
      <c r="AA60" s="140"/>
      <c r="AB60" s="140"/>
      <c r="AC60" s="140"/>
      <c r="AD60" s="140"/>
      <c r="AE60" s="140"/>
      <c r="AF60" s="140"/>
      <c r="AG60" s="140"/>
    </row>
    <row r="61" spans="1:37" s="138" customFormat="1" x14ac:dyDescent="0.25">
      <c r="C61" s="135"/>
      <c r="D61" s="135"/>
      <c r="E61" s="176"/>
      <c r="G61" s="135"/>
      <c r="H61" s="137"/>
      <c r="I61" s="137"/>
      <c r="J61" s="156"/>
      <c r="K61" s="135"/>
      <c r="L61" s="135"/>
      <c r="M61" s="135"/>
      <c r="N61" s="135"/>
      <c r="O61" s="135"/>
      <c r="P61" s="135"/>
      <c r="Q61" s="135"/>
      <c r="R61" s="135"/>
      <c r="U61" s="139"/>
      <c r="V61" s="139"/>
      <c r="W61" s="139"/>
      <c r="X61" s="139"/>
      <c r="Y61" s="140"/>
      <c r="Z61" s="140"/>
      <c r="AA61" s="140"/>
      <c r="AB61" s="140"/>
      <c r="AC61" s="140"/>
      <c r="AD61" s="140"/>
    </row>
    <row r="62" spans="1:37" s="138" customFormat="1" x14ac:dyDescent="0.25">
      <c r="C62" s="135"/>
      <c r="D62" s="135"/>
      <c r="E62" s="176"/>
      <c r="G62" s="135"/>
      <c r="H62" s="137"/>
      <c r="I62" s="137"/>
      <c r="J62" s="156"/>
      <c r="K62" s="135"/>
      <c r="L62" s="135"/>
      <c r="M62" s="135"/>
      <c r="N62" s="135"/>
      <c r="O62" s="135"/>
      <c r="P62" s="135"/>
      <c r="Q62" s="135"/>
      <c r="R62" s="135"/>
      <c r="U62" s="139"/>
      <c r="V62" s="139"/>
      <c r="W62" s="139"/>
      <c r="X62" s="139"/>
      <c r="Y62" s="140"/>
      <c r="Z62" s="140"/>
      <c r="AA62" s="140"/>
      <c r="AB62" s="140"/>
      <c r="AC62" s="140"/>
      <c r="AD62" s="140"/>
    </row>
    <row r="63" spans="1:37" s="138" customFormat="1" x14ac:dyDescent="0.25">
      <c r="C63" s="135"/>
      <c r="D63" s="135"/>
      <c r="E63" s="176"/>
      <c r="G63" s="135"/>
      <c r="H63" s="137"/>
      <c r="I63" s="137"/>
      <c r="J63" s="156"/>
      <c r="K63" s="135"/>
      <c r="L63" s="135"/>
      <c r="M63" s="135"/>
      <c r="N63" s="135"/>
      <c r="O63" s="135"/>
      <c r="P63" s="135"/>
      <c r="Q63" s="135"/>
      <c r="R63" s="135"/>
      <c r="U63" s="139"/>
      <c r="V63" s="139"/>
      <c r="W63" s="139"/>
      <c r="X63" s="139"/>
      <c r="Y63" s="140"/>
      <c r="Z63" s="140"/>
      <c r="AA63" s="140"/>
      <c r="AB63" s="140"/>
      <c r="AC63" s="140"/>
      <c r="AD63" s="140"/>
    </row>
    <row r="64" spans="1:37" x14ac:dyDescent="0.25">
      <c r="C64" s="135"/>
      <c r="D64" s="135"/>
      <c r="E64" s="176"/>
      <c r="F64" s="138"/>
      <c r="G64" s="135"/>
    </row>
    <row r="65" spans="2:7" x14ac:dyDescent="0.25">
      <c r="C65" s="135"/>
      <c r="D65" s="135"/>
      <c r="E65" s="176"/>
      <c r="F65" s="138"/>
      <c r="G65" s="135"/>
    </row>
    <row r="66" spans="2:7" x14ac:dyDescent="0.25">
      <c r="B66" s="179"/>
    </row>
    <row r="67" spans="2:7" x14ac:dyDescent="0.25">
      <c r="B67" s="179"/>
    </row>
    <row r="68" spans="2:7" x14ac:dyDescent="0.25">
      <c r="B68" s="179"/>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opLeftCell="A7" workbookViewId="0">
      <selection activeCell="G4" sqref="G4"/>
    </sheetView>
  </sheetViews>
  <sheetFormatPr defaultRowHeight="14.4" x14ac:dyDescent="0.3"/>
  <sheetData>
    <row r="1" spans="1:1" ht="18" x14ac:dyDescent="0.35">
      <c r="A1" s="193" t="s">
        <v>123</v>
      </c>
    </row>
    <row r="2" spans="1:1" x14ac:dyDescent="0.3">
      <c r="A2" t="s">
        <v>35</v>
      </c>
    </row>
    <row r="3" spans="1:1" x14ac:dyDescent="0.3">
      <c r="A3" t="s">
        <v>30</v>
      </c>
    </row>
    <row r="4" spans="1:1" x14ac:dyDescent="0.3">
      <c r="A4" t="s">
        <v>31</v>
      </c>
    </row>
    <row r="5" spans="1:1" x14ac:dyDescent="0.3">
      <c r="A5" t="s">
        <v>96</v>
      </c>
    </row>
    <row r="6" spans="1:1" x14ac:dyDescent="0.3">
      <c r="A6" t="s">
        <v>32</v>
      </c>
    </row>
    <row r="7" spans="1:1" x14ac:dyDescent="0.3">
      <c r="A7" t="s">
        <v>33</v>
      </c>
    </row>
    <row r="8" spans="1:1" x14ac:dyDescent="0.3">
      <c r="A8"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Intro</vt:lpstr>
      <vt:lpstr>Investeringskalkyl</vt:lpstr>
      <vt:lpstr>Driftkalkyl - Slaktungnöt</vt:lpstr>
      <vt:lpstr>Blad10</vt:lpstr>
      <vt:lpstr>Djurslag</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2016-06-13T14:16:34Z</cp:lastPrinted>
  <dcterms:created xsi:type="dcterms:W3CDTF">2016-06-01T07:08:09Z</dcterms:created>
  <dcterms:modified xsi:type="dcterms:W3CDTF">2018-01-10T12:31:49Z</dcterms:modified>
</cp:coreProperties>
</file>